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autoCompressPictures="0" defaultThemeVersion="124226"/>
  <bookViews>
    <workbookView xWindow="12945" yWindow="-15" windowWidth="8355" windowHeight="5700"/>
  </bookViews>
  <sheets>
    <sheet name="CON" sheetId="9" r:id="rId1"/>
    <sheet name="CON-next" sheetId="35" r:id="rId2"/>
    <sheet name="CON-long" sheetId="31" r:id="rId3"/>
    <sheet name="Payroll" sheetId="7" r:id="rId4"/>
    <sheet name="Fin Proj" sheetId="26" r:id="rId5"/>
    <sheet name="Depth" sheetId="25" r:id="rId6"/>
    <sheet name="CTBat" sheetId="5" r:id="rId7"/>
    <sheet name="CTPit" sheetId="6" r:id="rId8"/>
    <sheet name="PSP-AAA" sheetId="34" r:id="rId9"/>
    <sheet name="NH-AA" sheetId="33" r:id="rId10"/>
    <sheet name="CRG-A" sheetId="32" r:id="rId11"/>
    <sheet name="PC-S A" sheetId="30" r:id="rId12"/>
    <sheet name="CTBOld" sheetId="22" r:id="rId13"/>
    <sheet name="CTPOld" sheetId="23" r:id="rId14"/>
  </sheets>
  <definedNames>
    <definedName name="_xlnm._FilterDatabase" localSheetId="6" hidden="1">CTBat!$A$10:$CN$89</definedName>
    <definedName name="_xlnm._FilterDatabase" localSheetId="7" hidden="1">CTPit!$A$10:$BN$92</definedName>
    <definedName name="_xlnm._FilterDatabase" localSheetId="3" hidden="1">Payroll!$A$2:$O$40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Q14" i="5"/>
  <c r="AR14" s="1"/>
  <c r="AS14"/>
  <c r="AT14" s="1"/>
  <c r="AU14"/>
  <c r="AV14" s="1"/>
  <c r="AW14"/>
  <c r="AX14"/>
  <c r="AY14"/>
  <c r="AZ14"/>
  <c r="BA14"/>
  <c r="BB14"/>
  <c r="BC14"/>
  <c r="BD14"/>
  <c r="BE14"/>
  <c r="BF14"/>
  <c r="BG14"/>
  <c r="BH14"/>
  <c r="BI14"/>
  <c r="BJ14"/>
  <c r="BK14"/>
  <c r="BL14"/>
  <c r="BM14"/>
  <c r="BN14"/>
  <c r="BO14"/>
  <c r="BP14"/>
  <c r="BQ14"/>
  <c r="BS14"/>
  <c r="BT14"/>
  <c r="BU14"/>
  <c r="BV14"/>
  <c r="BW14"/>
  <c r="BX14"/>
  <c r="BY14"/>
  <c r="BZ14"/>
  <c r="CB14"/>
  <c r="CC14"/>
  <c r="CD14"/>
  <c r="CE14"/>
  <c r="CF14"/>
  <c r="CG14"/>
  <c r="CH14"/>
  <c r="CI14"/>
  <c r="CJ14"/>
  <c r="CK14"/>
  <c r="CL14"/>
  <c r="CM14"/>
  <c r="E14"/>
  <c r="D14"/>
  <c r="C14"/>
  <c r="AQ15"/>
  <c r="AR15" s="1"/>
  <c r="AS15"/>
  <c r="AT15" s="1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BS15"/>
  <c r="BT15"/>
  <c r="BU15"/>
  <c r="BV15"/>
  <c r="BW15"/>
  <c r="BX15"/>
  <c r="BY15"/>
  <c r="BZ15"/>
  <c r="CB15"/>
  <c r="CC15"/>
  <c r="CD15"/>
  <c r="CE15"/>
  <c r="CF15"/>
  <c r="CG15"/>
  <c r="CH15"/>
  <c r="CI15"/>
  <c r="CJ15"/>
  <c r="CK15"/>
  <c r="CL15"/>
  <c r="CM15"/>
  <c r="E15"/>
  <c r="AQ13"/>
  <c r="AR13" s="1"/>
  <c r="AS13"/>
  <c r="AT13" s="1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BN13"/>
  <c r="BO13"/>
  <c r="BP13"/>
  <c r="BQ13"/>
  <c r="BS13"/>
  <c r="BT13"/>
  <c r="BU13"/>
  <c r="BV13"/>
  <c r="BW13"/>
  <c r="BX13"/>
  <c r="BY13"/>
  <c r="BZ13"/>
  <c r="CB13"/>
  <c r="CC13"/>
  <c r="CD13"/>
  <c r="CE13"/>
  <c r="CF13"/>
  <c r="CG13"/>
  <c r="CH13"/>
  <c r="CI13"/>
  <c r="CJ13"/>
  <c r="CK13"/>
  <c r="CL13"/>
  <c r="CM13"/>
  <c r="E13"/>
  <c r="CA14" l="1"/>
  <c r="CN14"/>
  <c r="D15"/>
  <c r="AU15"/>
  <c r="AV15" s="1"/>
  <c r="C13"/>
  <c r="D13"/>
  <c r="AU13"/>
  <c r="AV13" s="1"/>
  <c r="C15"/>
  <c r="CN15"/>
  <c r="CN13"/>
  <c r="CA13"/>
  <c r="CA15"/>
  <c r="G2" i="7"/>
  <c r="H2" s="1"/>
  <c r="I2" s="1"/>
  <c r="J2" s="1"/>
  <c r="K2" s="1"/>
  <c r="L2" s="1"/>
  <c r="BM11" i="6"/>
  <c r="AQ16" i="5"/>
  <c r="AR16" s="1"/>
  <c r="AS16"/>
  <c r="AT16" s="1"/>
  <c r="AW16"/>
  <c r="AX16"/>
  <c r="AY16"/>
  <c r="AZ16"/>
  <c r="BA16"/>
  <c r="BB16"/>
  <c r="BC16"/>
  <c r="BD16"/>
  <c r="BE16"/>
  <c r="BF16"/>
  <c r="BG16"/>
  <c r="BH16"/>
  <c r="BI16"/>
  <c r="BJ16"/>
  <c r="BK16"/>
  <c r="BL16"/>
  <c r="BM16"/>
  <c r="BN16"/>
  <c r="BO16"/>
  <c r="BP16"/>
  <c r="BQ16"/>
  <c r="BR16"/>
  <c r="BS16"/>
  <c r="BT16"/>
  <c r="BU16"/>
  <c r="BV16"/>
  <c r="BW16"/>
  <c r="BX16"/>
  <c r="BY16"/>
  <c r="BZ16"/>
  <c r="CB16"/>
  <c r="CC16"/>
  <c r="CD16"/>
  <c r="CE16"/>
  <c r="CF16"/>
  <c r="CG16"/>
  <c r="CH16"/>
  <c r="CI16"/>
  <c r="CJ16"/>
  <c r="CK16"/>
  <c r="CL16"/>
  <c r="CM16"/>
  <c r="C16"/>
  <c r="D16"/>
  <c r="E16"/>
  <c r="P86" i="7"/>
  <c r="Q86" s="1"/>
  <c r="P85"/>
  <c r="Q85" s="1"/>
  <c r="P84"/>
  <c r="Q84" s="1"/>
  <c r="P83"/>
  <c r="Q83" s="1"/>
  <c r="P80"/>
  <c r="Q80" s="1"/>
  <c r="P79"/>
  <c r="Q79" s="1"/>
  <c r="P77"/>
  <c r="Q77" s="1"/>
  <c r="AQ26" i="5"/>
  <c r="AR26" s="1"/>
  <c r="AS26"/>
  <c r="AT26" s="1"/>
  <c r="AU26"/>
  <c r="AV26" s="1"/>
  <c r="AW26"/>
  <c r="AX26"/>
  <c r="AY26"/>
  <c r="AZ26"/>
  <c r="BA26"/>
  <c r="BB26"/>
  <c r="BC26"/>
  <c r="BD26"/>
  <c r="BE26"/>
  <c r="BF26"/>
  <c r="BG26"/>
  <c r="BH26"/>
  <c r="BI26"/>
  <c r="BJ26"/>
  <c r="BK26"/>
  <c r="BL26"/>
  <c r="BM26"/>
  <c r="BN26"/>
  <c r="BO26"/>
  <c r="BP26"/>
  <c r="BQ26"/>
  <c r="BS26"/>
  <c r="BT26"/>
  <c r="BU26"/>
  <c r="BV26"/>
  <c r="BW26"/>
  <c r="BX26"/>
  <c r="BY26"/>
  <c r="BZ26"/>
  <c r="CB26"/>
  <c r="CC26"/>
  <c r="CD26"/>
  <c r="CE26"/>
  <c r="CF26"/>
  <c r="CG26"/>
  <c r="CH26"/>
  <c r="CI26"/>
  <c r="CJ26"/>
  <c r="CK26"/>
  <c r="CL26"/>
  <c r="CM26"/>
  <c r="D26"/>
  <c r="E26"/>
  <c r="G61" i="7"/>
  <c r="H61" s="1"/>
  <c r="I61" s="1"/>
  <c r="J61" s="1"/>
  <c r="K61" s="1"/>
  <c r="L61" s="1"/>
  <c r="M61" s="1"/>
  <c r="N61" s="1"/>
  <c r="O61" s="1"/>
  <c r="BG12" i="23"/>
  <c r="BH12"/>
  <c r="BI12"/>
  <c r="BJ12"/>
  <c r="BK12"/>
  <c r="BL12"/>
  <c r="BM12"/>
  <c r="BN12"/>
  <c r="BO12"/>
  <c r="BP12"/>
  <c r="BQ12"/>
  <c r="BR12"/>
  <c r="BS12"/>
  <c r="BT12"/>
  <c r="BU12"/>
  <c r="BV12"/>
  <c r="BW12"/>
  <c r="BX12"/>
  <c r="BY12"/>
  <c r="BZ12"/>
  <c r="CA12"/>
  <c r="CB12"/>
  <c r="CC12"/>
  <c r="CD12"/>
  <c r="CE12"/>
  <c r="CF12"/>
  <c r="CG12"/>
  <c r="CH12"/>
  <c r="CI12"/>
  <c r="CJ12"/>
  <c r="BG13"/>
  <c r="BH13"/>
  <c r="BI13"/>
  <c r="BJ13"/>
  <c r="BK13"/>
  <c r="BL13"/>
  <c r="BM13"/>
  <c r="BN13"/>
  <c r="BO13"/>
  <c r="BP13"/>
  <c r="BQ13"/>
  <c r="BR13"/>
  <c r="BS13"/>
  <c r="BT13"/>
  <c r="BU13"/>
  <c r="BV13"/>
  <c r="BW13"/>
  <c r="BX13"/>
  <c r="BY13"/>
  <c r="BZ13"/>
  <c r="CA13"/>
  <c r="CB13"/>
  <c r="CC13"/>
  <c r="CD13"/>
  <c r="CE13"/>
  <c r="CF13"/>
  <c r="CG13"/>
  <c r="CH13"/>
  <c r="CI13"/>
  <c r="CJ13"/>
  <c r="BG14"/>
  <c r="BH14"/>
  <c r="BI14"/>
  <c r="BJ14"/>
  <c r="BK14"/>
  <c r="BL14"/>
  <c r="BM14"/>
  <c r="BN14"/>
  <c r="BO14"/>
  <c r="BP14"/>
  <c r="BQ14"/>
  <c r="BR14"/>
  <c r="BS14"/>
  <c r="BT14"/>
  <c r="BU14"/>
  <c r="BV14"/>
  <c r="BW14"/>
  <c r="BX14"/>
  <c r="BY14"/>
  <c r="BZ14"/>
  <c r="CA14"/>
  <c r="CB14"/>
  <c r="CC14"/>
  <c r="CD14"/>
  <c r="CE14"/>
  <c r="CF14"/>
  <c r="CG14"/>
  <c r="CH14"/>
  <c r="CI14"/>
  <c r="CJ14"/>
  <c r="BG15"/>
  <c r="BH15"/>
  <c r="BI15"/>
  <c r="BJ15"/>
  <c r="BK15"/>
  <c r="BL15"/>
  <c r="BM15"/>
  <c r="BN15"/>
  <c r="BO15"/>
  <c r="BP15"/>
  <c r="BQ15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BG16"/>
  <c r="BH16"/>
  <c r="BI16"/>
  <c r="BJ16"/>
  <c r="BK16"/>
  <c r="BL16"/>
  <c r="BM16"/>
  <c r="BN16"/>
  <c r="BO16"/>
  <c r="BP16"/>
  <c r="BQ16"/>
  <c r="BR16"/>
  <c r="BS16"/>
  <c r="BT16"/>
  <c r="BU16"/>
  <c r="BV16"/>
  <c r="BW16"/>
  <c r="BX16"/>
  <c r="BY16"/>
  <c r="BZ16"/>
  <c r="CA16"/>
  <c r="CB16"/>
  <c r="CC16"/>
  <c r="CD16"/>
  <c r="CE16"/>
  <c r="CF16"/>
  <c r="CG16"/>
  <c r="CH16"/>
  <c r="CI16"/>
  <c r="CJ16"/>
  <c r="BG17"/>
  <c r="BH17"/>
  <c r="BI17"/>
  <c r="BJ17"/>
  <c r="BK17"/>
  <c r="BL17"/>
  <c r="BM17"/>
  <c r="BN17"/>
  <c r="BO17"/>
  <c r="BP17"/>
  <c r="BQ17"/>
  <c r="BR17"/>
  <c r="BS17"/>
  <c r="BT17"/>
  <c r="BU17"/>
  <c r="BV17"/>
  <c r="BW17"/>
  <c r="BX17"/>
  <c r="BY17"/>
  <c r="BZ17"/>
  <c r="CA17"/>
  <c r="CB17"/>
  <c r="CC17"/>
  <c r="CD17"/>
  <c r="CE17"/>
  <c r="CF17"/>
  <c r="CG17"/>
  <c r="CH17"/>
  <c r="CI17"/>
  <c r="CJ17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BG19"/>
  <c r="BH19"/>
  <c r="BI19"/>
  <c r="BJ19"/>
  <c r="BK19"/>
  <c r="BL19"/>
  <c r="BM19"/>
  <c r="BN19"/>
  <c r="BO19"/>
  <c r="BP19"/>
  <c r="BQ19"/>
  <c r="BR19"/>
  <c r="BS19"/>
  <c r="BT19"/>
  <c r="BU19"/>
  <c r="BV19"/>
  <c r="BW19"/>
  <c r="BX19"/>
  <c r="BY19"/>
  <c r="BZ19"/>
  <c r="CA19"/>
  <c r="CB19"/>
  <c r="CC19"/>
  <c r="CD19"/>
  <c r="CE19"/>
  <c r="CF19"/>
  <c r="CG19"/>
  <c r="CH19"/>
  <c r="CI19"/>
  <c r="CJ19"/>
  <c r="BG20"/>
  <c r="BH20"/>
  <c r="BI20"/>
  <c r="BJ20"/>
  <c r="BK20"/>
  <c r="BL20"/>
  <c r="BM20"/>
  <c r="BN20"/>
  <c r="BO20"/>
  <c r="BP20"/>
  <c r="BQ20"/>
  <c r="BR20"/>
  <c r="BS20"/>
  <c r="BT20"/>
  <c r="BU20"/>
  <c r="BV20"/>
  <c r="BW20"/>
  <c r="BX20"/>
  <c r="BY20"/>
  <c r="BZ20"/>
  <c r="CA20"/>
  <c r="CB20"/>
  <c r="CC20"/>
  <c r="CD20"/>
  <c r="CE20"/>
  <c r="CF20"/>
  <c r="CG20"/>
  <c r="CH20"/>
  <c r="CI20"/>
  <c r="CJ20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BX23"/>
  <c r="BY23"/>
  <c r="BZ23"/>
  <c r="CA23"/>
  <c r="CB23"/>
  <c r="CC23"/>
  <c r="CD23"/>
  <c r="CE23"/>
  <c r="CF23"/>
  <c r="CG23"/>
  <c r="CH23"/>
  <c r="CI23"/>
  <c r="CJ23"/>
  <c r="BG24"/>
  <c r="BH24"/>
  <c r="BI24"/>
  <c r="BJ24"/>
  <c r="BK24"/>
  <c r="BL24"/>
  <c r="BM24"/>
  <c r="BN24"/>
  <c r="BO24"/>
  <c r="BP24"/>
  <c r="BQ24"/>
  <c r="BR24"/>
  <c r="BS24"/>
  <c r="BT24"/>
  <c r="BU24"/>
  <c r="BV24"/>
  <c r="BW24"/>
  <c r="BX24"/>
  <c r="BY24"/>
  <c r="BZ24"/>
  <c r="CA24"/>
  <c r="CB24"/>
  <c r="CC24"/>
  <c r="CD24"/>
  <c r="CE24"/>
  <c r="CF24"/>
  <c r="CG24"/>
  <c r="CH24"/>
  <c r="CI24"/>
  <c r="CJ24"/>
  <c r="BG25"/>
  <c r="BH25"/>
  <c r="BI25"/>
  <c r="BJ25"/>
  <c r="BK25"/>
  <c r="BL25"/>
  <c r="BM25"/>
  <c r="BN25"/>
  <c r="BO25"/>
  <c r="BP25"/>
  <c r="BQ25"/>
  <c r="BR25"/>
  <c r="BS25"/>
  <c r="BT25"/>
  <c r="BU25"/>
  <c r="BV25"/>
  <c r="BW25"/>
  <c r="BX25"/>
  <c r="BY25"/>
  <c r="BZ25"/>
  <c r="CA25"/>
  <c r="CB25"/>
  <c r="CC25"/>
  <c r="CD25"/>
  <c r="CE25"/>
  <c r="CF25"/>
  <c r="CG25"/>
  <c r="CH25"/>
  <c r="CI25"/>
  <c r="CJ25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BX26"/>
  <c r="BY26"/>
  <c r="BZ26"/>
  <c r="CA26"/>
  <c r="CB26"/>
  <c r="CC26"/>
  <c r="CD26"/>
  <c r="CE26"/>
  <c r="CF26"/>
  <c r="CG26"/>
  <c r="CH26"/>
  <c r="CI26"/>
  <c r="CJ26"/>
  <c r="BG27"/>
  <c r="BH27"/>
  <c r="BI27"/>
  <c r="BJ27"/>
  <c r="BK27"/>
  <c r="BL27"/>
  <c r="BM27"/>
  <c r="BN27"/>
  <c r="BO27"/>
  <c r="BP27"/>
  <c r="BQ27"/>
  <c r="BR27"/>
  <c r="BS27"/>
  <c r="BT27"/>
  <c r="BU27"/>
  <c r="BV27"/>
  <c r="BW27"/>
  <c r="BX27"/>
  <c r="BY27"/>
  <c r="BZ27"/>
  <c r="CA27"/>
  <c r="CB27"/>
  <c r="CC27"/>
  <c r="CD27"/>
  <c r="CE27"/>
  <c r="CF27"/>
  <c r="CG27"/>
  <c r="CH27"/>
  <c r="CI27"/>
  <c r="CJ27"/>
  <c r="BG28"/>
  <c r="BH28"/>
  <c r="BI28"/>
  <c r="BJ28"/>
  <c r="BK28"/>
  <c r="BL28"/>
  <c r="BM28"/>
  <c r="BN28"/>
  <c r="BO28"/>
  <c r="BP28"/>
  <c r="BQ28"/>
  <c r="BR28"/>
  <c r="BS28"/>
  <c r="BT28"/>
  <c r="BU28"/>
  <c r="BV28"/>
  <c r="BW28"/>
  <c r="BX28"/>
  <c r="BY28"/>
  <c r="BZ28"/>
  <c r="CA28"/>
  <c r="CB28"/>
  <c r="CC28"/>
  <c r="CD28"/>
  <c r="CE28"/>
  <c r="CF28"/>
  <c r="CG28"/>
  <c r="CH28"/>
  <c r="CI28"/>
  <c r="CJ28"/>
  <c r="BG29"/>
  <c r="BH29"/>
  <c r="BI29"/>
  <c r="BJ29"/>
  <c r="BK29"/>
  <c r="BL29"/>
  <c r="BM29"/>
  <c r="BN29"/>
  <c r="BO29"/>
  <c r="BP29"/>
  <c r="BQ29"/>
  <c r="BR29"/>
  <c r="BS29"/>
  <c r="BT29"/>
  <c r="BU29"/>
  <c r="BV29"/>
  <c r="BW29"/>
  <c r="BX29"/>
  <c r="BY29"/>
  <c r="BZ29"/>
  <c r="CA29"/>
  <c r="CB29"/>
  <c r="CC29"/>
  <c r="CD29"/>
  <c r="CE29"/>
  <c r="CF29"/>
  <c r="CG29"/>
  <c r="CH29"/>
  <c r="CI29"/>
  <c r="CJ29"/>
  <c r="BG30"/>
  <c r="BH30"/>
  <c r="BI30"/>
  <c r="BJ30"/>
  <c r="BK30"/>
  <c r="BL30"/>
  <c r="BM30"/>
  <c r="BN30"/>
  <c r="BO30"/>
  <c r="BP30"/>
  <c r="BQ30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BG36"/>
  <c r="BH36"/>
  <c r="BI36"/>
  <c r="BJ36"/>
  <c r="BK36"/>
  <c r="BL36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BG38"/>
  <c r="BH38"/>
  <c r="BI38"/>
  <c r="BJ38"/>
  <c r="BK38"/>
  <c r="BL38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BG41"/>
  <c r="BH41"/>
  <c r="BI41"/>
  <c r="BJ41"/>
  <c r="BK41"/>
  <c r="BL41"/>
  <c r="BM41"/>
  <c r="BN41"/>
  <c r="BO41"/>
  <c r="BP41"/>
  <c r="BQ41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BG42"/>
  <c r="BH42"/>
  <c r="BI42"/>
  <c r="BJ42"/>
  <c r="BK42"/>
  <c r="BL42"/>
  <c r="BM42"/>
  <c r="BN42"/>
  <c r="BO42"/>
  <c r="BP42"/>
  <c r="BQ42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BG43"/>
  <c r="BH43"/>
  <c r="BI43"/>
  <c r="BJ43"/>
  <c r="BK43"/>
  <c r="BL43"/>
  <c r="BM43"/>
  <c r="BN43"/>
  <c r="BO43"/>
  <c r="BP43"/>
  <c r="BQ4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BG44"/>
  <c r="BH44"/>
  <c r="BI44"/>
  <c r="BJ44"/>
  <c r="BK44"/>
  <c r="BL44"/>
  <c r="BM44"/>
  <c r="BN44"/>
  <c r="BO44"/>
  <c r="BP44"/>
  <c r="BQ44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BG45"/>
  <c r="BH45"/>
  <c r="BI45"/>
  <c r="BJ45"/>
  <c r="BK45"/>
  <c r="BL45"/>
  <c r="BM45"/>
  <c r="BN45"/>
  <c r="BO45"/>
  <c r="BP45"/>
  <c r="BQ45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BG46"/>
  <c r="BH46"/>
  <c r="BI46"/>
  <c r="BJ46"/>
  <c r="BK46"/>
  <c r="BL46"/>
  <c r="BM46"/>
  <c r="BN46"/>
  <c r="BO46"/>
  <c r="BP46"/>
  <c r="BQ4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BG47"/>
  <c r="BH47"/>
  <c r="BI47"/>
  <c r="BJ47"/>
  <c r="BK47"/>
  <c r="BL47"/>
  <c r="BM47"/>
  <c r="BN47"/>
  <c r="BO47"/>
  <c r="BP47"/>
  <c r="BQ47"/>
  <c r="BR47"/>
  <c r="BS47"/>
  <c r="BT47"/>
  <c r="BU47"/>
  <c r="BV47"/>
  <c r="BW47"/>
  <c r="BX47"/>
  <c r="BY47"/>
  <c r="BZ47"/>
  <c r="CA47"/>
  <c r="CB47"/>
  <c r="CC47"/>
  <c r="CD47"/>
  <c r="CE47"/>
  <c r="CF47"/>
  <c r="CG47"/>
  <c r="CH47"/>
  <c r="CI47"/>
  <c r="CJ47"/>
  <c r="BG48"/>
  <c r="BH48"/>
  <c r="BI48"/>
  <c r="BJ48"/>
  <c r="BK48"/>
  <c r="BL48"/>
  <c r="BM48"/>
  <c r="BN48"/>
  <c r="BO48"/>
  <c r="BP48"/>
  <c r="BQ48"/>
  <c r="BR48"/>
  <c r="BS48"/>
  <c r="BT48"/>
  <c r="BU48"/>
  <c r="BV48"/>
  <c r="BW48"/>
  <c r="BX48"/>
  <c r="BY48"/>
  <c r="BZ48"/>
  <c r="CA48"/>
  <c r="CB48"/>
  <c r="CC48"/>
  <c r="CD48"/>
  <c r="CE48"/>
  <c r="CF48"/>
  <c r="CG48"/>
  <c r="CH48"/>
  <c r="CI48"/>
  <c r="CJ48"/>
  <c r="BG49"/>
  <c r="BH49"/>
  <c r="BI49"/>
  <c r="BJ49"/>
  <c r="BK49"/>
  <c r="BL49"/>
  <c r="BM49"/>
  <c r="BN49"/>
  <c r="BO49"/>
  <c r="BP49"/>
  <c r="BQ49"/>
  <c r="BR49"/>
  <c r="BS49"/>
  <c r="BT49"/>
  <c r="BU49"/>
  <c r="BV49"/>
  <c r="BW49"/>
  <c r="BX49"/>
  <c r="BY49"/>
  <c r="BZ49"/>
  <c r="CA49"/>
  <c r="CB49"/>
  <c r="CC49"/>
  <c r="CD49"/>
  <c r="CE49"/>
  <c r="CF49"/>
  <c r="CG49"/>
  <c r="CH49"/>
  <c r="CI49"/>
  <c r="CJ49"/>
  <c r="BG50"/>
  <c r="BH50"/>
  <c r="BI50"/>
  <c r="BJ50"/>
  <c r="BK50"/>
  <c r="BL50"/>
  <c r="BM50"/>
  <c r="BN50"/>
  <c r="BO50"/>
  <c r="BP50"/>
  <c r="BQ50"/>
  <c r="BR50"/>
  <c r="BS50"/>
  <c r="BT50"/>
  <c r="BU50"/>
  <c r="BV50"/>
  <c r="BW50"/>
  <c r="BX50"/>
  <c r="BY50"/>
  <c r="BZ50"/>
  <c r="CA50"/>
  <c r="CB50"/>
  <c r="CC50"/>
  <c r="CD50"/>
  <c r="CE50"/>
  <c r="CF50"/>
  <c r="CG50"/>
  <c r="CH50"/>
  <c r="CI50"/>
  <c r="CJ50"/>
  <c r="BG51"/>
  <c r="BH51"/>
  <c r="BI51"/>
  <c r="BJ51"/>
  <c r="BK51"/>
  <c r="BL51"/>
  <c r="BM51"/>
  <c r="BN51"/>
  <c r="BO51"/>
  <c r="BP51"/>
  <c r="BQ51"/>
  <c r="BR51"/>
  <c r="BS51"/>
  <c r="BT51"/>
  <c r="BU51"/>
  <c r="BV51"/>
  <c r="BW51"/>
  <c r="BX51"/>
  <c r="BY51"/>
  <c r="BZ51"/>
  <c r="CA51"/>
  <c r="CB51"/>
  <c r="CC51"/>
  <c r="CD51"/>
  <c r="CE51"/>
  <c r="CF51"/>
  <c r="CG51"/>
  <c r="CH51"/>
  <c r="CI51"/>
  <c r="CJ51"/>
  <c r="BG52"/>
  <c r="BH52"/>
  <c r="BI52"/>
  <c r="BJ52"/>
  <c r="BK52"/>
  <c r="BL52"/>
  <c r="BM52"/>
  <c r="BN52"/>
  <c r="BO52"/>
  <c r="BP52"/>
  <c r="BQ52"/>
  <c r="BR52"/>
  <c r="BS52"/>
  <c r="BT52"/>
  <c r="BU52"/>
  <c r="BV52"/>
  <c r="BW52"/>
  <c r="BX52"/>
  <c r="BY52"/>
  <c r="BZ52"/>
  <c r="CA52"/>
  <c r="CB52"/>
  <c r="CC52"/>
  <c r="CD52"/>
  <c r="CE52"/>
  <c r="CF52"/>
  <c r="CG52"/>
  <c r="CH52"/>
  <c r="CI52"/>
  <c r="CJ52"/>
  <c r="BG53"/>
  <c r="BH53"/>
  <c r="BI53"/>
  <c r="BJ53"/>
  <c r="BK53"/>
  <c r="BL53"/>
  <c r="BM53"/>
  <c r="BN53"/>
  <c r="BO53"/>
  <c r="BP53"/>
  <c r="BQ53"/>
  <c r="BR53"/>
  <c r="BS53"/>
  <c r="BT53"/>
  <c r="BU53"/>
  <c r="BV53"/>
  <c r="BW53"/>
  <c r="BX53"/>
  <c r="BY53"/>
  <c r="BZ53"/>
  <c r="CA53"/>
  <c r="CB53"/>
  <c r="CC53"/>
  <c r="CD53"/>
  <c r="CE53"/>
  <c r="CF53"/>
  <c r="CG53"/>
  <c r="CH53"/>
  <c r="CI53"/>
  <c r="CJ53"/>
  <c r="BG54"/>
  <c r="BH54"/>
  <c r="BI54"/>
  <c r="BJ54"/>
  <c r="BK54"/>
  <c r="BL54"/>
  <c r="BM54"/>
  <c r="BN54"/>
  <c r="BO54"/>
  <c r="BP54"/>
  <c r="BQ54"/>
  <c r="BR54"/>
  <c r="BS54"/>
  <c r="BT54"/>
  <c r="BU54"/>
  <c r="BV54"/>
  <c r="BW54"/>
  <c r="BX54"/>
  <c r="BY54"/>
  <c r="BZ54"/>
  <c r="CA54"/>
  <c r="CB54"/>
  <c r="CC54"/>
  <c r="CD54"/>
  <c r="CE54"/>
  <c r="CF54"/>
  <c r="CG54"/>
  <c r="CH54"/>
  <c r="CI54"/>
  <c r="CJ54"/>
  <c r="BG55"/>
  <c r="BH55"/>
  <c r="BI55"/>
  <c r="BJ55"/>
  <c r="BK55"/>
  <c r="BL55"/>
  <c r="BM55"/>
  <c r="BN55"/>
  <c r="BO55"/>
  <c r="BP55"/>
  <c r="BQ55"/>
  <c r="BR55"/>
  <c r="BS55"/>
  <c r="BT55"/>
  <c r="BU55"/>
  <c r="BV55"/>
  <c r="BW55"/>
  <c r="BX55"/>
  <c r="BY55"/>
  <c r="BZ55"/>
  <c r="CA55"/>
  <c r="CB55"/>
  <c r="CC55"/>
  <c r="CD55"/>
  <c r="CE55"/>
  <c r="CF55"/>
  <c r="CG55"/>
  <c r="CH55"/>
  <c r="CI55"/>
  <c r="CJ55"/>
  <c r="BG56"/>
  <c r="BH56"/>
  <c r="BI56"/>
  <c r="BJ56"/>
  <c r="BK56"/>
  <c r="BL56"/>
  <c r="BM56"/>
  <c r="BN56"/>
  <c r="BO56"/>
  <c r="BP56"/>
  <c r="BQ56"/>
  <c r="BR56"/>
  <c r="BS56"/>
  <c r="BT56"/>
  <c r="BU56"/>
  <c r="BV56"/>
  <c r="BW56"/>
  <c r="BX56"/>
  <c r="BY56"/>
  <c r="BZ56"/>
  <c r="CA56"/>
  <c r="CB56"/>
  <c r="CC56"/>
  <c r="CD56"/>
  <c r="CE56"/>
  <c r="CF56"/>
  <c r="CG56"/>
  <c r="CH56"/>
  <c r="CI56"/>
  <c r="CJ56"/>
  <c r="BG57"/>
  <c r="BH57"/>
  <c r="BI57"/>
  <c r="BJ57"/>
  <c r="BK57"/>
  <c r="BL57"/>
  <c r="BM57"/>
  <c r="BN57"/>
  <c r="BO57"/>
  <c r="BP57"/>
  <c r="BQ57"/>
  <c r="BR57"/>
  <c r="BS57"/>
  <c r="BT57"/>
  <c r="BU57"/>
  <c r="BV57"/>
  <c r="BW57"/>
  <c r="BX57"/>
  <c r="BY57"/>
  <c r="BZ57"/>
  <c r="CA57"/>
  <c r="CB57"/>
  <c r="CC57"/>
  <c r="CD57"/>
  <c r="CE57"/>
  <c r="CF57"/>
  <c r="CG57"/>
  <c r="CH57"/>
  <c r="CI57"/>
  <c r="CJ57"/>
  <c r="BG58"/>
  <c r="BH58"/>
  <c r="BI58"/>
  <c r="BJ58"/>
  <c r="BK58"/>
  <c r="BL58"/>
  <c r="BM58"/>
  <c r="BN58"/>
  <c r="BO58"/>
  <c r="BP58"/>
  <c r="BQ58"/>
  <c r="BR58"/>
  <c r="BS58"/>
  <c r="BT58"/>
  <c r="BU58"/>
  <c r="BV58"/>
  <c r="BW58"/>
  <c r="BX58"/>
  <c r="BY58"/>
  <c r="BZ58"/>
  <c r="CA58"/>
  <c r="CB58"/>
  <c r="CC58"/>
  <c r="CD58"/>
  <c r="CE58"/>
  <c r="CF58"/>
  <c r="CG58"/>
  <c r="CH58"/>
  <c r="CI58"/>
  <c r="CJ58"/>
  <c r="BG59"/>
  <c r="BH59"/>
  <c r="BI59"/>
  <c r="BJ59"/>
  <c r="BK59"/>
  <c r="BL59"/>
  <c r="BM59"/>
  <c r="BN59"/>
  <c r="BO59"/>
  <c r="BP59"/>
  <c r="BQ59"/>
  <c r="BR59"/>
  <c r="BS59"/>
  <c r="BT59"/>
  <c r="BU59"/>
  <c r="BV59"/>
  <c r="BW59"/>
  <c r="BX59"/>
  <c r="BY59"/>
  <c r="BZ59"/>
  <c r="CA59"/>
  <c r="CB59"/>
  <c r="CC59"/>
  <c r="CD59"/>
  <c r="CE59"/>
  <c r="CF59"/>
  <c r="CG59"/>
  <c r="CH59"/>
  <c r="CI59"/>
  <c r="CJ59"/>
  <c r="BG60"/>
  <c r="BH60"/>
  <c r="BI60"/>
  <c r="BJ60"/>
  <c r="BK60"/>
  <c r="BL60"/>
  <c r="BM60"/>
  <c r="BN60"/>
  <c r="BO60"/>
  <c r="BP60"/>
  <c r="BQ60"/>
  <c r="BR60"/>
  <c r="BS60"/>
  <c r="BT60"/>
  <c r="BU60"/>
  <c r="BV60"/>
  <c r="BW60"/>
  <c r="BX60"/>
  <c r="BY60"/>
  <c r="BZ60"/>
  <c r="CA60"/>
  <c r="CB60"/>
  <c r="CC60"/>
  <c r="CD60"/>
  <c r="CE60"/>
  <c r="CF60"/>
  <c r="CG60"/>
  <c r="CH60"/>
  <c r="CI60"/>
  <c r="CJ60"/>
  <c r="BG61"/>
  <c r="BH61"/>
  <c r="BI61"/>
  <c r="BJ61"/>
  <c r="BK61"/>
  <c r="BL61"/>
  <c r="BM61"/>
  <c r="BN61"/>
  <c r="BO61"/>
  <c r="BP61"/>
  <c r="BQ61"/>
  <c r="BR61"/>
  <c r="BS61"/>
  <c r="BT61"/>
  <c r="BU61"/>
  <c r="BV61"/>
  <c r="BW61"/>
  <c r="BX61"/>
  <c r="BY61"/>
  <c r="BZ61"/>
  <c r="CA61"/>
  <c r="CB61"/>
  <c r="CC61"/>
  <c r="CD61"/>
  <c r="CE61"/>
  <c r="CF61"/>
  <c r="CG61"/>
  <c r="CH61"/>
  <c r="CI61"/>
  <c r="CJ61"/>
  <c r="BG62"/>
  <c r="BH62"/>
  <c r="BI62"/>
  <c r="BJ62"/>
  <c r="BK62"/>
  <c r="BL62"/>
  <c r="BM62"/>
  <c r="BN62"/>
  <c r="BO62"/>
  <c r="BP62"/>
  <c r="BQ62"/>
  <c r="BR62"/>
  <c r="BS62"/>
  <c r="BT62"/>
  <c r="BU62"/>
  <c r="BV62"/>
  <c r="BW62"/>
  <c r="BX62"/>
  <c r="BY62"/>
  <c r="BZ62"/>
  <c r="CA62"/>
  <c r="CB62"/>
  <c r="CC62"/>
  <c r="CD62"/>
  <c r="CE62"/>
  <c r="CF62"/>
  <c r="CG62"/>
  <c r="CH62"/>
  <c r="CI62"/>
  <c r="CJ62"/>
  <c r="BG63"/>
  <c r="BH63"/>
  <c r="BI63"/>
  <c r="BJ63"/>
  <c r="BK63"/>
  <c r="BL63"/>
  <c r="BM63"/>
  <c r="BN63"/>
  <c r="BO63"/>
  <c r="BP63"/>
  <c r="BQ63"/>
  <c r="BR63"/>
  <c r="BS63"/>
  <c r="BT63"/>
  <c r="BU63"/>
  <c r="BV63"/>
  <c r="BW63"/>
  <c r="BX63"/>
  <c r="BY63"/>
  <c r="BZ63"/>
  <c r="CA63"/>
  <c r="CB63"/>
  <c r="CC63"/>
  <c r="CD63"/>
  <c r="CE63"/>
  <c r="CF63"/>
  <c r="CG63"/>
  <c r="CH63"/>
  <c r="CI63"/>
  <c r="CJ63"/>
  <c r="BG64"/>
  <c r="BH64"/>
  <c r="BI64"/>
  <c r="BJ64"/>
  <c r="BK64"/>
  <c r="BL64"/>
  <c r="BM64"/>
  <c r="BN64"/>
  <c r="BO64"/>
  <c r="BP64"/>
  <c r="BQ64"/>
  <c r="BR64"/>
  <c r="BS64"/>
  <c r="BT64"/>
  <c r="BU64"/>
  <c r="BV64"/>
  <c r="BW64"/>
  <c r="BX64"/>
  <c r="BY64"/>
  <c r="BZ64"/>
  <c r="CA64"/>
  <c r="CB64"/>
  <c r="CC64"/>
  <c r="CD64"/>
  <c r="CE64"/>
  <c r="CF64"/>
  <c r="CG64"/>
  <c r="CH64"/>
  <c r="CI64"/>
  <c r="CJ64"/>
  <c r="BG65"/>
  <c r="BH65"/>
  <c r="BI65"/>
  <c r="BJ65"/>
  <c r="BK65"/>
  <c r="BL65"/>
  <c r="BM65"/>
  <c r="BN65"/>
  <c r="BO65"/>
  <c r="BP65"/>
  <c r="BQ65"/>
  <c r="BR65"/>
  <c r="BS65"/>
  <c r="BT65"/>
  <c r="BU65"/>
  <c r="BV65"/>
  <c r="BW65"/>
  <c r="BX65"/>
  <c r="BY65"/>
  <c r="BZ65"/>
  <c r="CA65"/>
  <c r="CB65"/>
  <c r="CC65"/>
  <c r="CD65"/>
  <c r="CE65"/>
  <c r="CF65"/>
  <c r="CG65"/>
  <c r="CH65"/>
  <c r="CI65"/>
  <c r="CJ65"/>
  <c r="BG66"/>
  <c r="BH66"/>
  <c r="BI66"/>
  <c r="BJ66"/>
  <c r="BK66"/>
  <c r="BL66"/>
  <c r="BM66"/>
  <c r="BN66"/>
  <c r="BO66"/>
  <c r="BP66"/>
  <c r="BQ66"/>
  <c r="BR66"/>
  <c r="BS66"/>
  <c r="BT66"/>
  <c r="BU66"/>
  <c r="BV66"/>
  <c r="BW66"/>
  <c r="BX66"/>
  <c r="BY66"/>
  <c r="BZ66"/>
  <c r="CA66"/>
  <c r="CB66"/>
  <c r="CC66"/>
  <c r="CD66"/>
  <c r="CE66"/>
  <c r="CF66"/>
  <c r="CG66"/>
  <c r="CH66"/>
  <c r="CI66"/>
  <c r="CJ66"/>
  <c r="BG67"/>
  <c r="BH67"/>
  <c r="BI67"/>
  <c r="BJ67"/>
  <c r="BK67"/>
  <c r="BL67"/>
  <c r="BM67"/>
  <c r="BN67"/>
  <c r="BO67"/>
  <c r="BP67"/>
  <c r="BQ67"/>
  <c r="BR67"/>
  <c r="BS67"/>
  <c r="BT67"/>
  <c r="BU67"/>
  <c r="BV67"/>
  <c r="BW67"/>
  <c r="BX67"/>
  <c r="BY67"/>
  <c r="BZ67"/>
  <c r="CA67"/>
  <c r="CB67"/>
  <c r="CC67"/>
  <c r="CD67"/>
  <c r="CE67"/>
  <c r="CF67"/>
  <c r="CG67"/>
  <c r="CH67"/>
  <c r="CI67"/>
  <c r="CJ67"/>
  <c r="BG68"/>
  <c r="BH68"/>
  <c r="BI68"/>
  <c r="BJ68"/>
  <c r="BK68"/>
  <c r="BL68"/>
  <c r="BM68"/>
  <c r="BN68"/>
  <c r="BO68"/>
  <c r="BP68"/>
  <c r="BQ68"/>
  <c r="BR68"/>
  <c r="BS68"/>
  <c r="BT68"/>
  <c r="BU68"/>
  <c r="BV68"/>
  <c r="BW68"/>
  <c r="BX68"/>
  <c r="BY68"/>
  <c r="BZ68"/>
  <c r="CA68"/>
  <c r="CB68"/>
  <c r="CC68"/>
  <c r="CD68"/>
  <c r="CE68"/>
  <c r="CF68"/>
  <c r="CG68"/>
  <c r="CH68"/>
  <c r="CI68"/>
  <c r="CJ68"/>
  <c r="BG69"/>
  <c r="BH69"/>
  <c r="BI69"/>
  <c r="BJ69"/>
  <c r="BK69"/>
  <c r="BL69"/>
  <c r="BM69"/>
  <c r="BN69"/>
  <c r="BO69"/>
  <c r="BP69"/>
  <c r="BQ69"/>
  <c r="BR69"/>
  <c r="BS69"/>
  <c r="BT69"/>
  <c r="BU69"/>
  <c r="BV69"/>
  <c r="BW69"/>
  <c r="BX69"/>
  <c r="BY69"/>
  <c r="BZ69"/>
  <c r="CA69"/>
  <c r="CB69"/>
  <c r="CC69"/>
  <c r="CD69"/>
  <c r="CE69"/>
  <c r="CF69"/>
  <c r="CG69"/>
  <c r="CH69"/>
  <c r="CI69"/>
  <c r="CJ69"/>
  <c r="BG70"/>
  <c r="BH70"/>
  <c r="BI70"/>
  <c r="BJ70"/>
  <c r="BK70"/>
  <c r="BL70"/>
  <c r="BM70"/>
  <c r="BN70"/>
  <c r="BO70"/>
  <c r="BP70"/>
  <c r="BQ70"/>
  <c r="BR70"/>
  <c r="BS70"/>
  <c r="BT70"/>
  <c r="BU70"/>
  <c r="BV70"/>
  <c r="BW70"/>
  <c r="BX70"/>
  <c r="BY70"/>
  <c r="BZ70"/>
  <c r="CA70"/>
  <c r="CB70"/>
  <c r="CC70"/>
  <c r="CD70"/>
  <c r="CE70"/>
  <c r="CF70"/>
  <c r="CG70"/>
  <c r="CH70"/>
  <c r="CI70"/>
  <c r="CJ70"/>
  <c r="BG71"/>
  <c r="BH71"/>
  <c r="BI71"/>
  <c r="BJ71"/>
  <c r="BK71"/>
  <c r="BL71"/>
  <c r="BM71"/>
  <c r="BN71"/>
  <c r="BO71"/>
  <c r="BP71"/>
  <c r="BQ71"/>
  <c r="BR71"/>
  <c r="BS71"/>
  <c r="BT71"/>
  <c r="BU71"/>
  <c r="BV71"/>
  <c r="BW71"/>
  <c r="BX71"/>
  <c r="BY71"/>
  <c r="BZ71"/>
  <c r="CA71"/>
  <c r="CB71"/>
  <c r="CC71"/>
  <c r="CD71"/>
  <c r="CE71"/>
  <c r="CF71"/>
  <c r="CG71"/>
  <c r="CH71"/>
  <c r="CI71"/>
  <c r="CJ71"/>
  <c r="BG72"/>
  <c r="BH72"/>
  <c r="BI72"/>
  <c r="BJ72"/>
  <c r="BK72"/>
  <c r="BL72"/>
  <c r="BM72"/>
  <c r="BN72"/>
  <c r="BO72"/>
  <c r="BP72"/>
  <c r="BQ72"/>
  <c r="BR72"/>
  <c r="BS72"/>
  <c r="BT72"/>
  <c r="BU72"/>
  <c r="BV72"/>
  <c r="BW72"/>
  <c r="BX72"/>
  <c r="BY72"/>
  <c r="BZ72"/>
  <c r="CA72"/>
  <c r="CB72"/>
  <c r="CC72"/>
  <c r="CD72"/>
  <c r="CE72"/>
  <c r="CF72"/>
  <c r="CG72"/>
  <c r="CH72"/>
  <c r="CI72"/>
  <c r="CJ72"/>
  <c r="BG73"/>
  <c r="BH73"/>
  <c r="BI73"/>
  <c r="BJ73"/>
  <c r="BK73"/>
  <c r="BL73"/>
  <c r="BM73"/>
  <c r="BN73"/>
  <c r="BO73"/>
  <c r="BP73"/>
  <c r="BQ73"/>
  <c r="BR73"/>
  <c r="BS73"/>
  <c r="BT73"/>
  <c r="BU73"/>
  <c r="BV73"/>
  <c r="BW73"/>
  <c r="BX73"/>
  <c r="BY73"/>
  <c r="BZ73"/>
  <c r="CA73"/>
  <c r="CB73"/>
  <c r="CC73"/>
  <c r="CD73"/>
  <c r="CE73"/>
  <c r="CF73"/>
  <c r="CG73"/>
  <c r="CH73"/>
  <c r="CI73"/>
  <c r="CJ73"/>
  <c r="BG74"/>
  <c r="BH74"/>
  <c r="BI74"/>
  <c r="BJ74"/>
  <c r="BK74"/>
  <c r="BL74"/>
  <c r="BM74"/>
  <c r="BN74"/>
  <c r="BO74"/>
  <c r="BP74"/>
  <c r="BQ74"/>
  <c r="BR74"/>
  <c r="BS74"/>
  <c r="BT74"/>
  <c r="BU74"/>
  <c r="BV74"/>
  <c r="BW74"/>
  <c r="BX74"/>
  <c r="BY74"/>
  <c r="BZ74"/>
  <c r="CA74"/>
  <c r="CB74"/>
  <c r="CC74"/>
  <c r="CD74"/>
  <c r="CE74"/>
  <c r="CF74"/>
  <c r="CG74"/>
  <c r="CH74"/>
  <c r="CI74"/>
  <c r="CJ74"/>
  <c r="BG75"/>
  <c r="BH75"/>
  <c r="BI75"/>
  <c r="BJ75"/>
  <c r="BK75"/>
  <c r="BL75"/>
  <c r="BM75"/>
  <c r="BN75"/>
  <c r="BO75"/>
  <c r="BP75"/>
  <c r="BQ75"/>
  <c r="BR75"/>
  <c r="BS75"/>
  <c r="BT75"/>
  <c r="BU75"/>
  <c r="BV75"/>
  <c r="BW75"/>
  <c r="BX75"/>
  <c r="BY75"/>
  <c r="BZ75"/>
  <c r="CA75"/>
  <c r="CB75"/>
  <c r="CC75"/>
  <c r="CD75"/>
  <c r="CE75"/>
  <c r="CF75"/>
  <c r="CG75"/>
  <c r="CH75"/>
  <c r="CI75"/>
  <c r="CJ75"/>
  <c r="BG76"/>
  <c r="BH76"/>
  <c r="BI76"/>
  <c r="BJ76"/>
  <c r="BK76"/>
  <c r="BL76"/>
  <c r="BM76"/>
  <c r="BN76"/>
  <c r="BO76"/>
  <c r="BP76"/>
  <c r="BQ76"/>
  <c r="BR76"/>
  <c r="BS76"/>
  <c r="BT76"/>
  <c r="BU76"/>
  <c r="BV76"/>
  <c r="BW76"/>
  <c r="BX76"/>
  <c r="BY76"/>
  <c r="BZ76"/>
  <c r="CA76"/>
  <c r="CB76"/>
  <c r="CC76"/>
  <c r="CD76"/>
  <c r="CE76"/>
  <c r="CF76"/>
  <c r="CG76"/>
  <c r="CH76"/>
  <c r="CI76"/>
  <c r="CJ76"/>
  <c r="BG77"/>
  <c r="BH77"/>
  <c r="BI77"/>
  <c r="BJ77"/>
  <c r="BK77"/>
  <c r="BL77"/>
  <c r="BM77"/>
  <c r="BN77"/>
  <c r="BO77"/>
  <c r="BP77"/>
  <c r="BQ77"/>
  <c r="BR77"/>
  <c r="BS77"/>
  <c r="BT77"/>
  <c r="BU77"/>
  <c r="BV77"/>
  <c r="BW77"/>
  <c r="BX77"/>
  <c r="BY77"/>
  <c r="BZ77"/>
  <c r="CA77"/>
  <c r="CB77"/>
  <c r="CC77"/>
  <c r="CD77"/>
  <c r="CE77"/>
  <c r="CF77"/>
  <c r="CG77"/>
  <c r="CH77"/>
  <c r="CI77"/>
  <c r="CJ77"/>
  <c r="BG78"/>
  <c r="BH78"/>
  <c r="BI78"/>
  <c r="BJ78"/>
  <c r="BK78"/>
  <c r="BL78"/>
  <c r="BM78"/>
  <c r="BN78"/>
  <c r="BO78"/>
  <c r="BP78"/>
  <c r="BQ78"/>
  <c r="BR78"/>
  <c r="BS78"/>
  <c r="BT78"/>
  <c r="BU78"/>
  <c r="BV78"/>
  <c r="BW78"/>
  <c r="BX78"/>
  <c r="BY78"/>
  <c r="BZ78"/>
  <c r="CA78"/>
  <c r="CB78"/>
  <c r="CC78"/>
  <c r="CD78"/>
  <c r="CE78"/>
  <c r="CF78"/>
  <c r="CG78"/>
  <c r="CH78"/>
  <c r="CI78"/>
  <c r="CJ78"/>
  <c r="BG79"/>
  <c r="BH79"/>
  <c r="BI79"/>
  <c r="BJ79"/>
  <c r="BK79"/>
  <c r="BL79"/>
  <c r="BM79"/>
  <c r="BN79"/>
  <c r="BO79"/>
  <c r="BP79"/>
  <c r="BQ79"/>
  <c r="BR79"/>
  <c r="BS79"/>
  <c r="BT79"/>
  <c r="BU79"/>
  <c r="BV79"/>
  <c r="BW79"/>
  <c r="BX79"/>
  <c r="BY79"/>
  <c r="BZ79"/>
  <c r="CA79"/>
  <c r="CB79"/>
  <c r="CC79"/>
  <c r="CD79"/>
  <c r="CE79"/>
  <c r="CF79"/>
  <c r="CG79"/>
  <c r="CH79"/>
  <c r="CI79"/>
  <c r="CJ79"/>
  <c r="BG80"/>
  <c r="BH80"/>
  <c r="BI80"/>
  <c r="BJ80"/>
  <c r="BK80"/>
  <c r="BL80"/>
  <c r="BM80"/>
  <c r="BN80"/>
  <c r="BO80"/>
  <c r="BP80"/>
  <c r="BQ80"/>
  <c r="BR80"/>
  <c r="BS80"/>
  <c r="BT80"/>
  <c r="BU80"/>
  <c r="BV80"/>
  <c r="BW80"/>
  <c r="BX80"/>
  <c r="BY80"/>
  <c r="BZ80"/>
  <c r="CA80"/>
  <c r="CB80"/>
  <c r="CC80"/>
  <c r="CD80"/>
  <c r="CE80"/>
  <c r="CF80"/>
  <c r="CG80"/>
  <c r="CH80"/>
  <c r="CI80"/>
  <c r="CJ80"/>
  <c r="BG81"/>
  <c r="BH81"/>
  <c r="BI81"/>
  <c r="BJ81"/>
  <c r="BK81"/>
  <c r="BL81"/>
  <c r="BM81"/>
  <c r="BN81"/>
  <c r="BO81"/>
  <c r="BP81"/>
  <c r="BQ81"/>
  <c r="BR81"/>
  <c r="BS81"/>
  <c r="BT81"/>
  <c r="BU81"/>
  <c r="BV81"/>
  <c r="BW81"/>
  <c r="BX81"/>
  <c r="BY81"/>
  <c r="BZ81"/>
  <c r="CA81"/>
  <c r="CB81"/>
  <c r="CC81"/>
  <c r="CD81"/>
  <c r="CE81"/>
  <c r="CF81"/>
  <c r="CG81"/>
  <c r="CH81"/>
  <c r="CI81"/>
  <c r="CJ81"/>
  <c r="BG82"/>
  <c r="BH82"/>
  <c r="BI82"/>
  <c r="BJ82"/>
  <c r="BK82"/>
  <c r="BL82"/>
  <c r="BM82"/>
  <c r="BN82"/>
  <c r="BO82"/>
  <c r="BP82"/>
  <c r="BQ82"/>
  <c r="BR82"/>
  <c r="BS82"/>
  <c r="BT82"/>
  <c r="BU82"/>
  <c r="BV82"/>
  <c r="BW82"/>
  <c r="BX82"/>
  <c r="BY82"/>
  <c r="BZ82"/>
  <c r="CA82"/>
  <c r="CB82"/>
  <c r="CC82"/>
  <c r="CD82"/>
  <c r="CE82"/>
  <c r="CF82"/>
  <c r="CG82"/>
  <c r="CH82"/>
  <c r="CI82"/>
  <c r="CJ82"/>
  <c r="BG83"/>
  <c r="BH83"/>
  <c r="BI83"/>
  <c r="BJ83"/>
  <c r="BK83"/>
  <c r="BL83"/>
  <c r="BM83"/>
  <c r="BN83"/>
  <c r="BO83"/>
  <c r="BP83"/>
  <c r="BQ83"/>
  <c r="BR83"/>
  <c r="BS83"/>
  <c r="BT83"/>
  <c r="BU83"/>
  <c r="BV83"/>
  <c r="BW83"/>
  <c r="BX83"/>
  <c r="BY83"/>
  <c r="BZ83"/>
  <c r="CA83"/>
  <c r="CB83"/>
  <c r="CC83"/>
  <c r="CD83"/>
  <c r="CE83"/>
  <c r="CF83"/>
  <c r="CG83"/>
  <c r="CH83"/>
  <c r="CI83"/>
  <c r="CJ83"/>
  <c r="BG84"/>
  <c r="BH84"/>
  <c r="BI84"/>
  <c r="BJ84"/>
  <c r="BK84"/>
  <c r="BL84"/>
  <c r="BM84"/>
  <c r="BN84"/>
  <c r="BO84"/>
  <c r="BP84"/>
  <c r="BQ84"/>
  <c r="BR84"/>
  <c r="BS84"/>
  <c r="BT84"/>
  <c r="BU84"/>
  <c r="BV84"/>
  <c r="BW84"/>
  <c r="BX84"/>
  <c r="BY84"/>
  <c r="BZ84"/>
  <c r="CA84"/>
  <c r="CB84"/>
  <c r="CC84"/>
  <c r="CD84"/>
  <c r="CE84"/>
  <c r="CF84"/>
  <c r="CG84"/>
  <c r="CH84"/>
  <c r="CI84"/>
  <c r="CJ84"/>
  <c r="BG85"/>
  <c r="BH85"/>
  <c r="BI85"/>
  <c r="BJ85"/>
  <c r="BK85"/>
  <c r="BL85"/>
  <c r="BM85"/>
  <c r="BN85"/>
  <c r="BO85"/>
  <c r="BP85"/>
  <c r="BQ85"/>
  <c r="BR85"/>
  <c r="BS85"/>
  <c r="BT85"/>
  <c r="BU85"/>
  <c r="BV85"/>
  <c r="BW85"/>
  <c r="BX85"/>
  <c r="BY85"/>
  <c r="BZ85"/>
  <c r="CA85"/>
  <c r="CB85"/>
  <c r="CC85"/>
  <c r="CD85"/>
  <c r="CE85"/>
  <c r="CF85"/>
  <c r="CG85"/>
  <c r="CH85"/>
  <c r="CI85"/>
  <c r="CJ85"/>
  <c r="BG86"/>
  <c r="BH86"/>
  <c r="BI86"/>
  <c r="BJ86"/>
  <c r="BK86"/>
  <c r="BL86"/>
  <c r="BM86"/>
  <c r="BN86"/>
  <c r="BO86"/>
  <c r="BP86"/>
  <c r="BQ86"/>
  <c r="BR86"/>
  <c r="BS86"/>
  <c r="BT86"/>
  <c r="BU86"/>
  <c r="BV86"/>
  <c r="BW86"/>
  <c r="BX86"/>
  <c r="BY86"/>
  <c r="BZ86"/>
  <c r="CA86"/>
  <c r="CB86"/>
  <c r="CC86"/>
  <c r="CD86"/>
  <c r="CE86"/>
  <c r="CF86"/>
  <c r="CG86"/>
  <c r="CH86"/>
  <c r="CI86"/>
  <c r="CJ86"/>
  <c r="BG87"/>
  <c r="BH87"/>
  <c r="BI87"/>
  <c r="BJ87"/>
  <c r="BK87"/>
  <c r="BL87"/>
  <c r="BM87"/>
  <c r="BN87"/>
  <c r="BO87"/>
  <c r="BP87"/>
  <c r="BQ87"/>
  <c r="BR87"/>
  <c r="BS87"/>
  <c r="BT87"/>
  <c r="BU87"/>
  <c r="BV87"/>
  <c r="BW87"/>
  <c r="BX87"/>
  <c r="BY87"/>
  <c r="BZ87"/>
  <c r="CA87"/>
  <c r="CB87"/>
  <c r="CC87"/>
  <c r="CD87"/>
  <c r="CE87"/>
  <c r="CF87"/>
  <c r="CG87"/>
  <c r="CH87"/>
  <c r="CI87"/>
  <c r="CJ87"/>
  <c r="BG88"/>
  <c r="BH88"/>
  <c r="BI88"/>
  <c r="BJ88"/>
  <c r="BK88"/>
  <c r="BL88"/>
  <c r="BM88"/>
  <c r="BN88"/>
  <c r="BO88"/>
  <c r="BP88"/>
  <c r="BQ88"/>
  <c r="BR88"/>
  <c r="BS88"/>
  <c r="BT88"/>
  <c r="BU88"/>
  <c r="BV88"/>
  <c r="BW88"/>
  <c r="BX88"/>
  <c r="BY88"/>
  <c r="BZ88"/>
  <c r="CA88"/>
  <c r="CB88"/>
  <c r="CC88"/>
  <c r="CD88"/>
  <c r="CE88"/>
  <c r="CF88"/>
  <c r="CG88"/>
  <c r="CH88"/>
  <c r="CI88"/>
  <c r="CJ88"/>
  <c r="BG89"/>
  <c r="BH89"/>
  <c r="BI89"/>
  <c r="BJ89"/>
  <c r="BK89"/>
  <c r="BL89"/>
  <c r="BM89"/>
  <c r="BN89"/>
  <c r="BO89"/>
  <c r="BP89"/>
  <c r="BQ89"/>
  <c r="BR89"/>
  <c r="BS89"/>
  <c r="BT89"/>
  <c r="BU89"/>
  <c r="BV89"/>
  <c r="BW89"/>
  <c r="BX89"/>
  <c r="BY89"/>
  <c r="BZ89"/>
  <c r="CA89"/>
  <c r="CB89"/>
  <c r="CC89"/>
  <c r="CD89"/>
  <c r="CE89"/>
  <c r="CF89"/>
  <c r="CG89"/>
  <c r="CH89"/>
  <c r="CI89"/>
  <c r="CJ89"/>
  <c r="BG90"/>
  <c r="BH90"/>
  <c r="BI90"/>
  <c r="BJ90"/>
  <c r="BK90"/>
  <c r="BL90"/>
  <c r="BM90"/>
  <c r="BN90"/>
  <c r="BO90"/>
  <c r="BP90"/>
  <c r="BQ90"/>
  <c r="BR90"/>
  <c r="BS90"/>
  <c r="BT90"/>
  <c r="BU90"/>
  <c r="BV90"/>
  <c r="BW90"/>
  <c r="BX90"/>
  <c r="BY90"/>
  <c r="BZ90"/>
  <c r="CA90"/>
  <c r="CB90"/>
  <c r="CC90"/>
  <c r="CD90"/>
  <c r="CE90"/>
  <c r="CF90"/>
  <c r="CG90"/>
  <c r="CH90"/>
  <c r="CI90"/>
  <c r="CJ90"/>
  <c r="BG91"/>
  <c r="BH91"/>
  <c r="BI91"/>
  <c r="BJ91"/>
  <c r="BK91"/>
  <c r="BL91"/>
  <c r="BM91"/>
  <c r="BN91"/>
  <c r="BO91"/>
  <c r="BP91"/>
  <c r="BQ91"/>
  <c r="BR91"/>
  <c r="BS91"/>
  <c r="BT91"/>
  <c r="BU91"/>
  <c r="BV91"/>
  <c r="BW91"/>
  <c r="CK91" s="1"/>
  <c r="BX91"/>
  <c r="BY91"/>
  <c r="BZ91"/>
  <c r="CA91"/>
  <c r="CB91"/>
  <c r="CC91"/>
  <c r="CD91"/>
  <c r="CE91"/>
  <c r="CF91"/>
  <c r="CG91"/>
  <c r="CH91"/>
  <c r="CI91"/>
  <c r="CJ91"/>
  <c r="BG92"/>
  <c r="BH92"/>
  <c r="BI92"/>
  <c r="BJ92"/>
  <c r="BK92"/>
  <c r="BL92"/>
  <c r="BM92"/>
  <c r="BN92"/>
  <c r="BO92"/>
  <c r="BP92"/>
  <c r="BQ92"/>
  <c r="BR92"/>
  <c r="BS92"/>
  <c r="BT92"/>
  <c r="BU92"/>
  <c r="BV92"/>
  <c r="BW92"/>
  <c r="BX92"/>
  <c r="BY92"/>
  <c r="BZ92"/>
  <c r="CA92"/>
  <c r="CB92"/>
  <c r="CC92"/>
  <c r="CD92"/>
  <c r="CE92"/>
  <c r="CF92"/>
  <c r="CG92"/>
  <c r="CH92"/>
  <c r="CI92"/>
  <c r="CJ92"/>
  <c r="BH11"/>
  <c r="BI11"/>
  <c r="BJ11"/>
  <c r="BK11"/>
  <c r="BL11"/>
  <c r="BM11"/>
  <c r="BN11"/>
  <c r="BO11"/>
  <c r="BP11"/>
  <c r="BQ11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BG11"/>
  <c r="AX85"/>
  <c r="AY85" s="1"/>
  <c r="AZ85"/>
  <c r="BA85" s="1"/>
  <c r="BB85"/>
  <c r="BC85" s="1"/>
  <c r="BD85"/>
  <c r="BE85"/>
  <c r="BF85"/>
  <c r="CK85"/>
  <c r="AX86"/>
  <c r="AY86" s="1"/>
  <c r="AZ86"/>
  <c r="BA86" s="1"/>
  <c r="BB86"/>
  <c r="BC86" s="1"/>
  <c r="BD86"/>
  <c r="BE86"/>
  <c r="BF86"/>
  <c r="AX87"/>
  <c r="AY87" s="1"/>
  <c r="AZ87"/>
  <c r="BA87" s="1"/>
  <c r="BB87"/>
  <c r="BC87" s="1"/>
  <c r="BD87"/>
  <c r="BE87"/>
  <c r="BF87"/>
  <c r="CK87"/>
  <c r="AX88"/>
  <c r="AY88" s="1"/>
  <c r="AZ88"/>
  <c r="BA88" s="1"/>
  <c r="BB88"/>
  <c r="BC88" s="1"/>
  <c r="BD88"/>
  <c r="BE88"/>
  <c r="BF88"/>
  <c r="AX89"/>
  <c r="AY89" s="1"/>
  <c r="AZ89"/>
  <c r="BA89" s="1"/>
  <c r="BB89"/>
  <c r="BC89" s="1"/>
  <c r="BD89"/>
  <c r="BE89"/>
  <c r="BF89"/>
  <c r="CK89"/>
  <c r="AX90"/>
  <c r="AY90" s="1"/>
  <c r="AZ90"/>
  <c r="BA90" s="1"/>
  <c r="BB90"/>
  <c r="BC90" s="1"/>
  <c r="BD90"/>
  <c r="BE90"/>
  <c r="BF90"/>
  <c r="AX91"/>
  <c r="AY91" s="1"/>
  <c r="AZ91"/>
  <c r="BA91" s="1"/>
  <c r="BB91"/>
  <c r="BC91" s="1"/>
  <c r="BD91"/>
  <c r="BE91"/>
  <c r="BF91"/>
  <c r="AX92"/>
  <c r="AY92" s="1"/>
  <c r="AZ92"/>
  <c r="BA92" s="1"/>
  <c r="BB92"/>
  <c r="BC92" s="1"/>
  <c r="BD92"/>
  <c r="BE92"/>
  <c r="BF92"/>
  <c r="C85"/>
  <c r="C86"/>
  <c r="C87"/>
  <c r="C88"/>
  <c r="C89"/>
  <c r="C90"/>
  <c r="C91"/>
  <c r="C92"/>
  <c r="BR32" i="2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BR30"/>
  <c r="BS30"/>
  <c r="BT30"/>
  <c r="BU30"/>
  <c r="BV30"/>
  <c r="BW30"/>
  <c r="BX30"/>
  <c r="BY30"/>
  <c r="BZ30"/>
  <c r="CA30"/>
  <c r="CB30"/>
  <c r="CC30"/>
  <c r="CD30"/>
  <c r="CE30"/>
  <c r="CF30"/>
  <c r="CG30"/>
  <c r="CH30"/>
  <c r="CI30"/>
  <c r="CJ30"/>
  <c r="CK30"/>
  <c r="CL30"/>
  <c r="CM30"/>
  <c r="CN30"/>
  <c r="CO30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BR42"/>
  <c r="BS42"/>
  <c r="BT42"/>
  <c r="BU42"/>
  <c r="BV42"/>
  <c r="BW42"/>
  <c r="BX42"/>
  <c r="BY42"/>
  <c r="BZ42"/>
  <c r="CA42"/>
  <c r="CB42"/>
  <c r="CC42"/>
  <c r="CD42"/>
  <c r="CE42"/>
  <c r="CF42"/>
  <c r="CG42"/>
  <c r="CH42"/>
  <c r="CI42"/>
  <c r="CJ42"/>
  <c r="CK42"/>
  <c r="CL42"/>
  <c r="CM42"/>
  <c r="CN42"/>
  <c r="CO42"/>
  <c r="BR23"/>
  <c r="BS23"/>
  <c r="BT23"/>
  <c r="BU23"/>
  <c r="BV23"/>
  <c r="BW23"/>
  <c r="BX23"/>
  <c r="BY23"/>
  <c r="BZ23"/>
  <c r="CA23"/>
  <c r="CB23"/>
  <c r="CC23"/>
  <c r="CD23"/>
  <c r="CE23"/>
  <c r="CF23"/>
  <c r="CG23"/>
  <c r="CH23"/>
  <c r="CI23"/>
  <c r="CJ23"/>
  <c r="CK23"/>
  <c r="CL23"/>
  <c r="CM23"/>
  <c r="CN23"/>
  <c r="CO23"/>
  <c r="BR43"/>
  <c r="BS43"/>
  <c r="BT43"/>
  <c r="BU43"/>
  <c r="BV43"/>
  <c r="BW43"/>
  <c r="BX43"/>
  <c r="BY43"/>
  <c r="BZ43"/>
  <c r="CA43"/>
  <c r="CB43"/>
  <c r="CC43"/>
  <c r="CD43"/>
  <c r="CE43"/>
  <c r="CF43"/>
  <c r="CG43"/>
  <c r="CH43"/>
  <c r="CI43"/>
  <c r="CJ43"/>
  <c r="CK43"/>
  <c r="CL43"/>
  <c r="CM43"/>
  <c r="CN43"/>
  <c r="CO43"/>
  <c r="BR57"/>
  <c r="BS57"/>
  <c r="BT57"/>
  <c r="BU57"/>
  <c r="BV57"/>
  <c r="BW57"/>
  <c r="BX57"/>
  <c r="BY57"/>
  <c r="BZ57"/>
  <c r="CA57"/>
  <c r="CB57"/>
  <c r="CC57"/>
  <c r="CD57"/>
  <c r="CE57"/>
  <c r="CF57"/>
  <c r="CG57"/>
  <c r="CH57"/>
  <c r="CI57"/>
  <c r="CJ57"/>
  <c r="CK57"/>
  <c r="CL57"/>
  <c r="CM57"/>
  <c r="CN57"/>
  <c r="CO57"/>
  <c r="BR58"/>
  <c r="BS58"/>
  <c r="BT58"/>
  <c r="BU58"/>
  <c r="BV58"/>
  <c r="BW58"/>
  <c r="BX58"/>
  <c r="BY58"/>
  <c r="BZ58"/>
  <c r="CA58"/>
  <c r="CB58"/>
  <c r="CC58"/>
  <c r="CD58"/>
  <c r="CE58"/>
  <c r="CF58"/>
  <c r="CG58"/>
  <c r="CH58"/>
  <c r="CI58"/>
  <c r="CJ58"/>
  <c r="CK58"/>
  <c r="CL58"/>
  <c r="CM58"/>
  <c r="CN58"/>
  <c r="CO58"/>
  <c r="BR24"/>
  <c r="BS24"/>
  <c r="BT24"/>
  <c r="BU24"/>
  <c r="BV24"/>
  <c r="BW24"/>
  <c r="BX24"/>
  <c r="BY24"/>
  <c r="BZ24"/>
  <c r="CA24"/>
  <c r="CB24"/>
  <c r="CC24"/>
  <c r="CD24"/>
  <c r="CE24"/>
  <c r="CF24"/>
  <c r="CG24"/>
  <c r="CH24"/>
  <c r="CI24"/>
  <c r="CJ24"/>
  <c r="CK24"/>
  <c r="CL24"/>
  <c r="CM24"/>
  <c r="CN24"/>
  <c r="CO24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BR25"/>
  <c r="BS25"/>
  <c r="BT25"/>
  <c r="BU25"/>
  <c r="BV25"/>
  <c r="BW25"/>
  <c r="BX25"/>
  <c r="BY25"/>
  <c r="BZ25"/>
  <c r="CA25"/>
  <c r="CB25"/>
  <c r="CC25"/>
  <c r="CD25"/>
  <c r="CE25"/>
  <c r="CF25"/>
  <c r="CG25"/>
  <c r="CH25"/>
  <c r="CI25"/>
  <c r="CJ25"/>
  <c r="CK25"/>
  <c r="CL25"/>
  <c r="CM25"/>
  <c r="CN25"/>
  <c r="CO25"/>
  <c r="BR20"/>
  <c r="BS20"/>
  <c r="BT20"/>
  <c r="BU20"/>
  <c r="BV20"/>
  <c r="BW20"/>
  <c r="BX20"/>
  <c r="BY20"/>
  <c r="BZ20"/>
  <c r="CA20"/>
  <c r="CB20"/>
  <c r="CC20"/>
  <c r="CD20"/>
  <c r="CE20"/>
  <c r="CF20"/>
  <c r="CG20"/>
  <c r="CH20"/>
  <c r="CI20"/>
  <c r="CJ20"/>
  <c r="CK20"/>
  <c r="CL20"/>
  <c r="CM20"/>
  <c r="CN20"/>
  <c r="CO20"/>
  <c r="BR53"/>
  <c r="BS53"/>
  <c r="BT53"/>
  <c r="BU53"/>
  <c r="BV53"/>
  <c r="BW53"/>
  <c r="BX53"/>
  <c r="BY53"/>
  <c r="BZ53"/>
  <c r="CA53"/>
  <c r="CB53"/>
  <c r="CC53"/>
  <c r="CD53"/>
  <c r="CE53"/>
  <c r="CF53"/>
  <c r="CG53"/>
  <c r="CH53"/>
  <c r="CI53"/>
  <c r="CJ53"/>
  <c r="CK53"/>
  <c r="CL53"/>
  <c r="CM53"/>
  <c r="CN53"/>
  <c r="CO53"/>
  <c r="BR26"/>
  <c r="BS26"/>
  <c r="BT26"/>
  <c r="BU26"/>
  <c r="BV26"/>
  <c r="BW26"/>
  <c r="BX26"/>
  <c r="BY26"/>
  <c r="BZ26"/>
  <c r="CA26"/>
  <c r="CB26"/>
  <c r="CC26"/>
  <c r="CD26"/>
  <c r="CE26"/>
  <c r="CF26"/>
  <c r="CG26"/>
  <c r="CH26"/>
  <c r="CI26"/>
  <c r="CJ26"/>
  <c r="CK26"/>
  <c r="CL26"/>
  <c r="CM26"/>
  <c r="CN26"/>
  <c r="CO26"/>
  <c r="BR34"/>
  <c r="BS34"/>
  <c r="BT34"/>
  <c r="BU34"/>
  <c r="BV34"/>
  <c r="BW34"/>
  <c r="BX34"/>
  <c r="BY34"/>
  <c r="BZ34"/>
  <c r="CA34"/>
  <c r="CB34"/>
  <c r="CC34"/>
  <c r="CD34"/>
  <c r="CE34"/>
  <c r="CF34"/>
  <c r="CG34"/>
  <c r="CH34"/>
  <c r="CI34"/>
  <c r="CJ34"/>
  <c r="CK34"/>
  <c r="CL34"/>
  <c r="CM34"/>
  <c r="CN34"/>
  <c r="CO34"/>
  <c r="BR12"/>
  <c r="BS12"/>
  <c r="BT12"/>
  <c r="BU12"/>
  <c r="BV12"/>
  <c r="BW12"/>
  <c r="BX12"/>
  <c r="BY12"/>
  <c r="BZ12"/>
  <c r="CA12"/>
  <c r="CB12"/>
  <c r="CC12"/>
  <c r="CD12"/>
  <c r="CE12"/>
  <c r="CF12"/>
  <c r="CG12"/>
  <c r="CH12"/>
  <c r="CI12"/>
  <c r="CJ12"/>
  <c r="CK12"/>
  <c r="CL12"/>
  <c r="CM12"/>
  <c r="CN12"/>
  <c r="CO12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BR51"/>
  <c r="BS51"/>
  <c r="BT51"/>
  <c r="BU51"/>
  <c r="BV51"/>
  <c r="BW51"/>
  <c r="BX51"/>
  <c r="BY51"/>
  <c r="BZ51"/>
  <c r="CA51"/>
  <c r="CB51"/>
  <c r="CC51"/>
  <c r="CD51"/>
  <c r="CE51"/>
  <c r="CF51"/>
  <c r="CG51"/>
  <c r="CH51"/>
  <c r="CI51"/>
  <c r="CJ51"/>
  <c r="CK51"/>
  <c r="CL51"/>
  <c r="CM51"/>
  <c r="CN51"/>
  <c r="CO51"/>
  <c r="BR36"/>
  <c r="BS36"/>
  <c r="BT36"/>
  <c r="BU36"/>
  <c r="BV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BR60"/>
  <c r="BS60"/>
  <c r="BT60"/>
  <c r="BU60"/>
  <c r="BV60"/>
  <c r="BW60"/>
  <c r="BX60"/>
  <c r="BY60"/>
  <c r="BZ60"/>
  <c r="CA60"/>
  <c r="CB60"/>
  <c r="CC60"/>
  <c r="CD60"/>
  <c r="CE60"/>
  <c r="CF60"/>
  <c r="CG60"/>
  <c r="CH60"/>
  <c r="CI60"/>
  <c r="CJ60"/>
  <c r="CK60"/>
  <c r="CL60"/>
  <c r="CM60"/>
  <c r="CN60"/>
  <c r="CO60"/>
  <c r="BR52"/>
  <c r="BS52"/>
  <c r="BT52"/>
  <c r="BU52"/>
  <c r="BV52"/>
  <c r="BW52"/>
  <c r="BX52"/>
  <c r="BY52"/>
  <c r="BZ52"/>
  <c r="CA52"/>
  <c r="CB52"/>
  <c r="CC52"/>
  <c r="CD52"/>
  <c r="CE52"/>
  <c r="CF52"/>
  <c r="CG52"/>
  <c r="CH52"/>
  <c r="CI52"/>
  <c r="CJ52"/>
  <c r="CK52"/>
  <c r="CL52"/>
  <c r="CM52"/>
  <c r="CN52"/>
  <c r="CO52"/>
  <c r="BR63"/>
  <c r="BS63"/>
  <c r="BT63"/>
  <c r="BU63"/>
  <c r="BV63"/>
  <c r="BW63"/>
  <c r="BX63"/>
  <c r="BY63"/>
  <c r="BZ63"/>
  <c r="CA63"/>
  <c r="CB63"/>
  <c r="CC63"/>
  <c r="CD63"/>
  <c r="CE63"/>
  <c r="CF63"/>
  <c r="CG63"/>
  <c r="CH63"/>
  <c r="CI63"/>
  <c r="CJ63"/>
  <c r="CK63"/>
  <c r="CL63"/>
  <c r="CM63"/>
  <c r="CN63"/>
  <c r="CO63"/>
  <c r="BR19"/>
  <c r="BS19"/>
  <c r="BT19"/>
  <c r="BU19"/>
  <c r="BV19"/>
  <c r="BW19"/>
  <c r="BX19"/>
  <c r="BY19"/>
  <c r="BZ19"/>
  <c r="CA19"/>
  <c r="CB19"/>
  <c r="CC19"/>
  <c r="CD19"/>
  <c r="CE19"/>
  <c r="CF19"/>
  <c r="CG19"/>
  <c r="CH19"/>
  <c r="CI19"/>
  <c r="CJ19"/>
  <c r="CK19"/>
  <c r="CL19"/>
  <c r="CM19"/>
  <c r="CN19"/>
  <c r="CO19"/>
  <c r="BR64"/>
  <c r="BS64"/>
  <c r="BT64"/>
  <c r="BU64"/>
  <c r="BV64"/>
  <c r="BW64"/>
  <c r="BX64"/>
  <c r="BY64"/>
  <c r="BZ64"/>
  <c r="CA64"/>
  <c r="CB64"/>
  <c r="CC64"/>
  <c r="CD64"/>
  <c r="CE64"/>
  <c r="CF64"/>
  <c r="CG64"/>
  <c r="CH64"/>
  <c r="CI64"/>
  <c r="CJ64"/>
  <c r="CK64"/>
  <c r="CL64"/>
  <c r="CM64"/>
  <c r="CN64"/>
  <c r="CO64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BR55"/>
  <c r="BS55"/>
  <c r="BT55"/>
  <c r="BU55"/>
  <c r="BV55"/>
  <c r="BW55"/>
  <c r="BX55"/>
  <c r="BY55"/>
  <c r="BZ55"/>
  <c r="CA55"/>
  <c r="CB55"/>
  <c r="CC55"/>
  <c r="CD55"/>
  <c r="CE55"/>
  <c r="CF55"/>
  <c r="CG55"/>
  <c r="CH55"/>
  <c r="CI55"/>
  <c r="CJ55"/>
  <c r="CK55"/>
  <c r="CL55"/>
  <c r="CM55"/>
  <c r="CN55"/>
  <c r="CO55"/>
  <c r="BR11"/>
  <c r="BS11"/>
  <c r="BT11"/>
  <c r="BU11"/>
  <c r="BV11"/>
  <c r="BW11"/>
  <c r="BX11"/>
  <c r="BY11"/>
  <c r="BZ11"/>
  <c r="CA11"/>
  <c r="CB11"/>
  <c r="CC11"/>
  <c r="CD11"/>
  <c r="CE11"/>
  <c r="CF11"/>
  <c r="CG11"/>
  <c r="CH11"/>
  <c r="CI11"/>
  <c r="CJ11"/>
  <c r="CK11"/>
  <c r="CL11"/>
  <c r="CM11"/>
  <c r="CN11"/>
  <c r="CO11"/>
  <c r="BR65"/>
  <c r="BS65"/>
  <c r="BT65"/>
  <c r="BU65"/>
  <c r="BV65"/>
  <c r="BW65"/>
  <c r="BX65"/>
  <c r="BY65"/>
  <c r="BZ65"/>
  <c r="CA65"/>
  <c r="CB65"/>
  <c r="CC65"/>
  <c r="CD65"/>
  <c r="CE65"/>
  <c r="CF65"/>
  <c r="CG65"/>
  <c r="CH65"/>
  <c r="CI65"/>
  <c r="CJ65"/>
  <c r="CK65"/>
  <c r="CL65"/>
  <c r="CM65"/>
  <c r="CN65"/>
  <c r="CO65"/>
  <c r="BR44"/>
  <c r="BS44"/>
  <c r="BT44"/>
  <c r="BU44"/>
  <c r="BV44"/>
  <c r="BW44"/>
  <c r="BX44"/>
  <c r="BY44"/>
  <c r="BZ44"/>
  <c r="CA44"/>
  <c r="CB44"/>
  <c r="CC44"/>
  <c r="CD44"/>
  <c r="CE44"/>
  <c r="CF44"/>
  <c r="CG44"/>
  <c r="CH44"/>
  <c r="CI44"/>
  <c r="CJ44"/>
  <c r="CK44"/>
  <c r="CL44"/>
  <c r="CM44"/>
  <c r="CN44"/>
  <c r="CO44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BR56"/>
  <c r="BS56"/>
  <c r="BT56"/>
  <c r="BU56"/>
  <c r="BV56"/>
  <c r="BW56"/>
  <c r="BX56"/>
  <c r="BY56"/>
  <c r="BZ56"/>
  <c r="CA56"/>
  <c r="CB56"/>
  <c r="CC56"/>
  <c r="CD56"/>
  <c r="CE56"/>
  <c r="CF56"/>
  <c r="CG56"/>
  <c r="CH56"/>
  <c r="CI56"/>
  <c r="CJ56"/>
  <c r="CK56"/>
  <c r="CL56"/>
  <c r="CM56"/>
  <c r="CN56"/>
  <c r="CO56"/>
  <c r="BR46"/>
  <c r="BS46"/>
  <c r="BT46"/>
  <c r="BU46"/>
  <c r="BV46"/>
  <c r="BW46"/>
  <c r="BX46"/>
  <c r="BY46"/>
  <c r="BZ46"/>
  <c r="CA46"/>
  <c r="CB46"/>
  <c r="CC46"/>
  <c r="CD46"/>
  <c r="CE46"/>
  <c r="CF46"/>
  <c r="CG46"/>
  <c r="CH46"/>
  <c r="CI46"/>
  <c r="CJ46"/>
  <c r="CK46"/>
  <c r="CL46"/>
  <c r="CM46"/>
  <c r="CN46"/>
  <c r="CO46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BR41"/>
  <c r="BS41"/>
  <c r="BT41"/>
  <c r="BU41"/>
  <c r="BV41"/>
  <c r="BW41"/>
  <c r="BX41"/>
  <c r="BY41"/>
  <c r="BZ41"/>
  <c r="CA41"/>
  <c r="CB41"/>
  <c r="CC41"/>
  <c r="CD41"/>
  <c r="CE41"/>
  <c r="CF41"/>
  <c r="CG41"/>
  <c r="CH41"/>
  <c r="CI41"/>
  <c r="CJ41"/>
  <c r="CK41"/>
  <c r="CL41"/>
  <c r="CM41"/>
  <c r="CN41"/>
  <c r="CO41"/>
  <c r="BR47"/>
  <c r="BS47"/>
  <c r="BT47"/>
  <c r="BU47"/>
  <c r="BV47"/>
  <c r="BW47"/>
  <c r="BX47"/>
  <c r="BY47"/>
  <c r="BZ47"/>
  <c r="CA47"/>
  <c r="CB47"/>
  <c r="CC47"/>
  <c r="CD47"/>
  <c r="CE47"/>
  <c r="CF47"/>
  <c r="CG47"/>
  <c r="CH47"/>
  <c r="CI47"/>
  <c r="CJ47"/>
  <c r="CK47"/>
  <c r="CL47"/>
  <c r="CM47"/>
  <c r="CN47"/>
  <c r="CO47"/>
  <c r="BR27"/>
  <c r="BS27"/>
  <c r="BT27"/>
  <c r="BU27"/>
  <c r="BV27"/>
  <c r="BW27"/>
  <c r="BX27"/>
  <c r="BY27"/>
  <c r="BZ27"/>
  <c r="CA27"/>
  <c r="CB27"/>
  <c r="CC27"/>
  <c r="CD27"/>
  <c r="CE27"/>
  <c r="CF27"/>
  <c r="CG27"/>
  <c r="CH27"/>
  <c r="CI27"/>
  <c r="CJ27"/>
  <c r="CK27"/>
  <c r="CL27"/>
  <c r="CM27"/>
  <c r="CN27"/>
  <c r="CO27"/>
  <c r="BR16"/>
  <c r="BS16"/>
  <c r="BT16"/>
  <c r="BU16"/>
  <c r="BV16"/>
  <c r="BW16"/>
  <c r="BX16"/>
  <c r="BY16"/>
  <c r="BZ16"/>
  <c r="CA16"/>
  <c r="CB16"/>
  <c r="CC16"/>
  <c r="CD16"/>
  <c r="CE16"/>
  <c r="CF16"/>
  <c r="CG16"/>
  <c r="CH16"/>
  <c r="CI16"/>
  <c r="CJ16"/>
  <c r="CK16"/>
  <c r="CL16"/>
  <c r="CM16"/>
  <c r="CN16"/>
  <c r="CO16"/>
  <c r="BR15"/>
  <c r="BS15"/>
  <c r="BT15"/>
  <c r="BU15"/>
  <c r="BV15"/>
  <c r="BW15"/>
  <c r="BX15"/>
  <c r="BY15"/>
  <c r="BZ15"/>
  <c r="CA15"/>
  <c r="CB15"/>
  <c r="CC15"/>
  <c r="CD15"/>
  <c r="CE15"/>
  <c r="CF15"/>
  <c r="CG15"/>
  <c r="CH15"/>
  <c r="CI15"/>
  <c r="CJ15"/>
  <c r="CK15"/>
  <c r="CL15"/>
  <c r="CM15"/>
  <c r="CN15"/>
  <c r="CO15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BR28"/>
  <c r="BS28"/>
  <c r="BT28"/>
  <c r="BU28"/>
  <c r="BV28"/>
  <c r="BW28"/>
  <c r="BX28"/>
  <c r="BY28"/>
  <c r="BZ28"/>
  <c r="CA28"/>
  <c r="CB28"/>
  <c r="CC28"/>
  <c r="CD28"/>
  <c r="CE28"/>
  <c r="CF28"/>
  <c r="CG28"/>
  <c r="CH28"/>
  <c r="CI28"/>
  <c r="CJ28"/>
  <c r="CK28"/>
  <c r="CL28"/>
  <c r="CM28"/>
  <c r="CN28"/>
  <c r="CO28"/>
  <c r="BR54"/>
  <c r="BS54"/>
  <c r="BT54"/>
  <c r="BU54"/>
  <c r="BV54"/>
  <c r="BW54"/>
  <c r="BX54"/>
  <c r="BY54"/>
  <c r="BZ54"/>
  <c r="CA54"/>
  <c r="CB54"/>
  <c r="CC54"/>
  <c r="CD54"/>
  <c r="CE54"/>
  <c r="CF54"/>
  <c r="CG54"/>
  <c r="CH54"/>
  <c r="CI54"/>
  <c r="CJ54"/>
  <c r="CK54"/>
  <c r="CL54"/>
  <c r="CM54"/>
  <c r="CN54"/>
  <c r="CO54"/>
  <c r="BR45"/>
  <c r="BS45"/>
  <c r="BT45"/>
  <c r="BU45"/>
  <c r="BV45"/>
  <c r="BW45"/>
  <c r="BX45"/>
  <c r="BY45"/>
  <c r="BZ45"/>
  <c r="CA45"/>
  <c r="CB45"/>
  <c r="CC45"/>
  <c r="CD45"/>
  <c r="CE45"/>
  <c r="CF45"/>
  <c r="CG45"/>
  <c r="CH45"/>
  <c r="CI45"/>
  <c r="CJ45"/>
  <c r="CK45"/>
  <c r="CL45"/>
  <c r="CM45"/>
  <c r="CN45"/>
  <c r="CO45"/>
  <c r="BR48"/>
  <c r="BS48"/>
  <c r="BT48"/>
  <c r="BU48"/>
  <c r="BV48"/>
  <c r="BW48"/>
  <c r="BX48"/>
  <c r="BY48"/>
  <c r="BZ48"/>
  <c r="CA48"/>
  <c r="CB48"/>
  <c r="CC48"/>
  <c r="CD48"/>
  <c r="CE48"/>
  <c r="CF48"/>
  <c r="CG48"/>
  <c r="CH48"/>
  <c r="CI48"/>
  <c r="CJ48"/>
  <c r="CK48"/>
  <c r="CL48"/>
  <c r="CM48"/>
  <c r="CN48"/>
  <c r="CO48"/>
  <c r="BR59"/>
  <c r="BS59"/>
  <c r="BT59"/>
  <c r="BU59"/>
  <c r="BV59"/>
  <c r="BW59"/>
  <c r="BX59"/>
  <c r="BY59"/>
  <c r="BZ59"/>
  <c r="CA59"/>
  <c r="CB59"/>
  <c r="CC59"/>
  <c r="CD59"/>
  <c r="CE59"/>
  <c r="CF59"/>
  <c r="CG59"/>
  <c r="CH59"/>
  <c r="CI59"/>
  <c r="CJ59"/>
  <c r="CK59"/>
  <c r="CL59"/>
  <c r="CM59"/>
  <c r="CN59"/>
  <c r="CO59"/>
  <c r="BR14"/>
  <c r="BS14"/>
  <c r="BT14"/>
  <c r="BU14"/>
  <c r="BV14"/>
  <c r="BW14"/>
  <c r="BX14"/>
  <c r="BY14"/>
  <c r="BZ14"/>
  <c r="CA14"/>
  <c r="CB14"/>
  <c r="CC14"/>
  <c r="CD14"/>
  <c r="CE14"/>
  <c r="CF14"/>
  <c r="CG14"/>
  <c r="CH14"/>
  <c r="CI14"/>
  <c r="CJ14"/>
  <c r="CK14"/>
  <c r="CL14"/>
  <c r="CM14"/>
  <c r="CN14"/>
  <c r="CO14"/>
  <c r="BR49"/>
  <c r="BS49"/>
  <c r="BT49"/>
  <c r="BU49"/>
  <c r="BV49"/>
  <c r="BW49"/>
  <c r="BX49"/>
  <c r="BY49"/>
  <c r="BZ49"/>
  <c r="CA49"/>
  <c r="CB49"/>
  <c r="CC49"/>
  <c r="CD49"/>
  <c r="CE49"/>
  <c r="CF49"/>
  <c r="CG49"/>
  <c r="CH49"/>
  <c r="CI49"/>
  <c r="CJ49"/>
  <c r="CK49"/>
  <c r="CL49"/>
  <c r="CM49"/>
  <c r="CN49"/>
  <c r="CO49"/>
  <c r="BR50"/>
  <c r="BS50"/>
  <c r="BT50"/>
  <c r="BU50"/>
  <c r="BV50"/>
  <c r="BW50"/>
  <c r="BX50"/>
  <c r="BY50"/>
  <c r="BZ50"/>
  <c r="CA50"/>
  <c r="CB50"/>
  <c r="CC50"/>
  <c r="CD50"/>
  <c r="CE50"/>
  <c r="CF50"/>
  <c r="CG50"/>
  <c r="CH50"/>
  <c r="CI50"/>
  <c r="CJ50"/>
  <c r="CK50"/>
  <c r="CL50"/>
  <c r="CM50"/>
  <c r="CN50"/>
  <c r="CO50"/>
  <c r="BR61"/>
  <c r="BS61"/>
  <c r="BT61"/>
  <c r="BU61"/>
  <c r="BV61"/>
  <c r="BW61"/>
  <c r="BX61"/>
  <c r="BY61"/>
  <c r="BZ61"/>
  <c r="CA61"/>
  <c r="CB61"/>
  <c r="CC61"/>
  <c r="CD61"/>
  <c r="CE61"/>
  <c r="CF61"/>
  <c r="CG61"/>
  <c r="CH61"/>
  <c r="CI61"/>
  <c r="CJ61"/>
  <c r="CK61"/>
  <c r="CL61"/>
  <c r="CM61"/>
  <c r="CN61"/>
  <c r="CO61"/>
  <c r="BR13"/>
  <c r="BS13"/>
  <c r="BT13"/>
  <c r="BU13"/>
  <c r="BV13"/>
  <c r="BW13"/>
  <c r="BX13"/>
  <c r="BY13"/>
  <c r="BZ13"/>
  <c r="CA13"/>
  <c r="CB13"/>
  <c r="CC13"/>
  <c r="CD13"/>
  <c r="CE13"/>
  <c r="CF13"/>
  <c r="CG13"/>
  <c r="CH13"/>
  <c r="CI13"/>
  <c r="CJ13"/>
  <c r="CK13"/>
  <c r="CL13"/>
  <c r="CM13"/>
  <c r="CN13"/>
  <c r="CO13"/>
  <c r="BR17"/>
  <c r="BS17"/>
  <c r="BT17"/>
  <c r="BU17"/>
  <c r="BV17"/>
  <c r="BW17"/>
  <c r="BX17"/>
  <c r="BY17"/>
  <c r="BZ17"/>
  <c r="CA17"/>
  <c r="CB17"/>
  <c r="CC17"/>
  <c r="CD17"/>
  <c r="CE17"/>
  <c r="CF17"/>
  <c r="CG17"/>
  <c r="CH17"/>
  <c r="CI17"/>
  <c r="CJ17"/>
  <c r="CK17"/>
  <c r="CL17"/>
  <c r="CM17"/>
  <c r="CN17"/>
  <c r="CO17"/>
  <c r="BR62"/>
  <c r="BS62"/>
  <c r="BT62"/>
  <c r="BU62"/>
  <c r="BV62"/>
  <c r="BW62"/>
  <c r="BX62"/>
  <c r="BY62"/>
  <c r="BZ62"/>
  <c r="CA62"/>
  <c r="CB62"/>
  <c r="CC62"/>
  <c r="CD62"/>
  <c r="CE62"/>
  <c r="CF62"/>
  <c r="CG62"/>
  <c r="CH62"/>
  <c r="CI62"/>
  <c r="CJ62"/>
  <c r="CK62"/>
  <c r="CL62"/>
  <c r="CM62"/>
  <c r="CN62"/>
  <c r="CO62"/>
  <c r="BS29"/>
  <c r="BT29"/>
  <c r="BU29"/>
  <c r="BV29"/>
  <c r="BW29"/>
  <c r="BX29"/>
  <c r="BY29"/>
  <c r="BZ29"/>
  <c r="CA29"/>
  <c r="CB29"/>
  <c r="CC29"/>
  <c r="CD29"/>
  <c r="CE29"/>
  <c r="CF29"/>
  <c r="CG29"/>
  <c r="CH29"/>
  <c r="CI29"/>
  <c r="CJ29"/>
  <c r="CK29"/>
  <c r="CL29"/>
  <c r="CM29"/>
  <c r="CN29"/>
  <c r="CO29"/>
  <c r="BR29"/>
  <c r="AQ62"/>
  <c r="AR62" s="1"/>
  <c r="AS62"/>
  <c r="AT62" s="1"/>
  <c r="AW62"/>
  <c r="AX62"/>
  <c r="AY62"/>
  <c r="AZ62"/>
  <c r="BA62"/>
  <c r="BB62"/>
  <c r="BC62"/>
  <c r="BD62"/>
  <c r="BE62"/>
  <c r="BF62"/>
  <c r="BG62"/>
  <c r="BH62"/>
  <c r="BI62"/>
  <c r="C62" s="1"/>
  <c r="BJ62"/>
  <c r="BK62"/>
  <c r="BL62"/>
  <c r="BM62"/>
  <c r="BN62"/>
  <c r="BO62"/>
  <c r="BP62"/>
  <c r="BQ62"/>
  <c r="D62"/>
  <c r="E62"/>
  <c r="AS7" i="6"/>
  <c r="F45" i="7"/>
  <c r="A80" i="6"/>
  <c r="A17" i="5"/>
  <c r="A28" i="6"/>
  <c r="A25"/>
  <c r="A18"/>
  <c r="A58"/>
  <c r="A22"/>
  <c r="A12"/>
  <c r="A29"/>
  <c r="A13"/>
  <c r="A20"/>
  <c r="A67"/>
  <c r="A68"/>
  <c r="A83"/>
  <c r="A16"/>
  <c r="A87"/>
  <c r="A63"/>
  <c r="A32"/>
  <c r="A33"/>
  <c r="A26"/>
  <c r="A57"/>
  <c r="A82"/>
  <c r="A76"/>
  <c r="A75"/>
  <c r="A69"/>
  <c r="A64"/>
  <c r="A73"/>
  <c r="A78"/>
  <c r="A66"/>
  <c r="A17"/>
  <c r="A77"/>
  <c r="A21"/>
  <c r="A70"/>
  <c r="A91"/>
  <c r="A11"/>
  <c r="A34"/>
  <c r="A62"/>
  <c r="A74"/>
  <c r="A15"/>
  <c r="A14"/>
  <c r="A79"/>
  <c r="A81"/>
  <c r="A19"/>
  <c r="A71"/>
  <c r="A24"/>
  <c r="A72"/>
  <c r="A30"/>
  <c r="A61"/>
  <c r="A35"/>
  <c r="A37"/>
  <c r="A39"/>
  <c r="A85"/>
  <c r="A88"/>
  <c r="A84"/>
  <c r="A31"/>
  <c r="A45"/>
  <c r="A46"/>
  <c r="A52"/>
  <c r="A60"/>
  <c r="A86"/>
  <c r="A90"/>
  <c r="A42"/>
  <c r="A49"/>
  <c r="A50"/>
  <c r="A53"/>
  <c r="A54"/>
  <c r="A65"/>
  <c r="A38"/>
  <c r="A59"/>
  <c r="A89"/>
  <c r="A92"/>
  <c r="A36"/>
  <c r="A40"/>
  <c r="A41"/>
  <c r="A43"/>
  <c r="A44"/>
  <c r="A48"/>
  <c r="A51"/>
  <c r="A55"/>
  <c r="A56"/>
  <c r="A47"/>
  <c r="A27"/>
  <c r="CK90" i="23" l="1"/>
  <c r="CK88"/>
  <c r="CK86"/>
  <c r="CN26" i="5"/>
  <c r="AU16"/>
  <c r="AV16" s="1"/>
  <c r="C26"/>
  <c r="AU62" i="22"/>
  <c r="AV62" s="1"/>
  <c r="CA16" i="5"/>
  <c r="CA26"/>
  <c r="CN16"/>
  <c r="CP62" i="22"/>
  <c r="CS62"/>
  <c r="CQ62"/>
  <c r="CK92" i="23"/>
  <c r="CR62" i="22"/>
  <c r="M2" i="7"/>
  <c r="N2" s="1"/>
  <c r="O2" s="1"/>
  <c r="G65"/>
  <c r="H65"/>
  <c r="I65"/>
  <c r="J65"/>
  <c r="K65"/>
  <c r="L65"/>
  <c r="M65"/>
  <c r="N65"/>
  <c r="O65"/>
  <c r="G66"/>
  <c r="F65"/>
  <c r="CT62" i="22" l="1"/>
  <c r="AG70" i="35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AF69"/>
  <c r="AE69"/>
  <c r="AD69"/>
  <c r="AB69"/>
  <c r="AA69"/>
  <c r="Z69"/>
  <c r="N69"/>
  <c r="M69"/>
  <c r="L69"/>
  <c r="K69"/>
  <c r="I69"/>
  <c r="E69"/>
  <c r="D69"/>
  <c r="AF68"/>
  <c r="AE68"/>
  <c r="AD68"/>
  <c r="AB68"/>
  <c r="AA68"/>
  <c r="Z68"/>
  <c r="N68"/>
  <c r="M68"/>
  <c r="L68"/>
  <c r="K68"/>
  <c r="I68"/>
  <c r="G68"/>
  <c r="E68"/>
  <c r="D68"/>
  <c r="AF67"/>
  <c r="AE67"/>
  <c r="AD67"/>
  <c r="AB67"/>
  <c r="AA67"/>
  <c r="Z67"/>
  <c r="N67"/>
  <c r="M67"/>
  <c r="L67"/>
  <c r="K67"/>
  <c r="I67"/>
  <c r="G67"/>
  <c r="E67"/>
  <c r="D67"/>
  <c r="AF66"/>
  <c r="AE66"/>
  <c r="AD66"/>
  <c r="AB66"/>
  <c r="AA66"/>
  <c r="Z66"/>
  <c r="N66"/>
  <c r="M66"/>
  <c r="L66"/>
  <c r="K66"/>
  <c r="H66" s="1"/>
  <c r="I66"/>
  <c r="G66"/>
  <c r="E66"/>
  <c r="D66"/>
  <c r="AF65"/>
  <c r="AE65"/>
  <c r="AD65"/>
  <c r="AB65"/>
  <c r="AA65"/>
  <c r="Z65"/>
  <c r="N65"/>
  <c r="M65"/>
  <c r="L65"/>
  <c r="K65"/>
  <c r="I65"/>
  <c r="E65"/>
  <c r="D65"/>
  <c r="AF62"/>
  <c r="AE62"/>
  <c r="AD62"/>
  <c r="AB62"/>
  <c r="AA62"/>
  <c r="Z62"/>
  <c r="N62"/>
  <c r="M62"/>
  <c r="L62"/>
  <c r="K62"/>
  <c r="I62"/>
  <c r="E62"/>
  <c r="D62"/>
  <c r="AF61"/>
  <c r="AE61"/>
  <c r="AD61"/>
  <c r="AB61"/>
  <c r="AA61"/>
  <c r="Z61"/>
  <c r="N61"/>
  <c r="M61"/>
  <c r="L61"/>
  <c r="K61"/>
  <c r="I61"/>
  <c r="E61"/>
  <c r="D61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AF57"/>
  <c r="AE57"/>
  <c r="AD57"/>
  <c r="AB57"/>
  <c r="AA57"/>
  <c r="Z57"/>
  <c r="N57"/>
  <c r="M57"/>
  <c r="L57"/>
  <c r="K57"/>
  <c r="I57"/>
  <c r="E57"/>
  <c r="D57"/>
  <c r="AF56"/>
  <c r="AE56"/>
  <c r="AD56"/>
  <c r="AB56"/>
  <c r="AA56"/>
  <c r="Z56"/>
  <c r="N56"/>
  <c r="M56"/>
  <c r="L56"/>
  <c r="K56"/>
  <c r="I56"/>
  <c r="E56"/>
  <c r="D56"/>
  <c r="AF55"/>
  <c r="AE55"/>
  <c r="AD55"/>
  <c r="AB55"/>
  <c r="AA55"/>
  <c r="Z55"/>
  <c r="N55"/>
  <c r="M55"/>
  <c r="L55"/>
  <c r="K55"/>
  <c r="I55"/>
  <c r="E55"/>
  <c r="D55"/>
  <c r="AF54"/>
  <c r="AE54"/>
  <c r="AD54"/>
  <c r="AB54"/>
  <c r="AA54"/>
  <c r="Z54"/>
  <c r="N54"/>
  <c r="M54"/>
  <c r="L54"/>
  <c r="K54"/>
  <c r="I54"/>
  <c r="E54"/>
  <c r="D54"/>
  <c r="AF53"/>
  <c r="AE53"/>
  <c r="AD53"/>
  <c r="AB53"/>
  <c r="AA53"/>
  <c r="Z53"/>
  <c r="N53"/>
  <c r="M53"/>
  <c r="L53"/>
  <c r="K53"/>
  <c r="I53"/>
  <c r="E53"/>
  <c r="D53"/>
  <c r="O51"/>
  <c r="P51" s="1"/>
  <c r="C49"/>
  <c r="C48"/>
  <c r="C50" s="1"/>
  <c r="R41"/>
  <c r="Q41"/>
  <c r="R30"/>
  <c r="Q30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Y23"/>
  <c r="AX23"/>
  <c r="AW23"/>
  <c r="AP23" s="1"/>
  <c r="AV23"/>
  <c r="AU23"/>
  <c r="AZ23" s="1"/>
  <c r="AS23"/>
  <c r="AQ23"/>
  <c r="AO23"/>
  <c r="AM23"/>
  <c r="AJ23"/>
  <c r="AI23"/>
  <c r="AH23"/>
  <c r="AG23"/>
  <c r="Z23" s="1"/>
  <c r="AF23"/>
  <c r="AE23"/>
  <c r="AB23" s="1"/>
  <c r="AD23"/>
  <c r="AC23"/>
  <c r="AA23"/>
  <c r="Y23"/>
  <c r="W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Y22"/>
  <c r="AX22"/>
  <c r="AW22"/>
  <c r="AV22"/>
  <c r="AU22"/>
  <c r="AJ22"/>
  <c r="AI22"/>
  <c r="AH22"/>
  <c r="AG22"/>
  <c r="AF22"/>
  <c r="AE22"/>
  <c r="AD22"/>
  <c r="T22"/>
  <c r="S22"/>
  <c r="R22"/>
  <c r="Q22"/>
  <c r="P22"/>
  <c r="O22"/>
  <c r="N22"/>
  <c r="M22"/>
  <c r="L22"/>
  <c r="K22"/>
  <c r="J22"/>
  <c r="I22"/>
  <c r="H22"/>
  <c r="G22"/>
  <c r="F22"/>
  <c r="E22"/>
  <c r="D22"/>
  <c r="C21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AZ18"/>
  <c r="AY18"/>
  <c r="AX18"/>
  <c r="AW18"/>
  <c r="AV18"/>
  <c r="AU18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AY17"/>
  <c r="AX17"/>
  <c r="AW17"/>
  <c r="AV17"/>
  <c r="AU17"/>
  <c r="AS17"/>
  <c r="AQ17"/>
  <c r="AO17"/>
  <c r="AN17"/>
  <c r="AM17"/>
  <c r="AJ17"/>
  <c r="AI17"/>
  <c r="AL17" s="1"/>
  <c r="AH17"/>
  <c r="AG17"/>
  <c r="AK17" s="1"/>
  <c r="AF17"/>
  <c r="AE17"/>
  <c r="AB17" s="1"/>
  <c r="AD17"/>
  <c r="AC17"/>
  <c r="AA17"/>
  <c r="Y17"/>
  <c r="W17"/>
  <c r="U17"/>
  <c r="T17"/>
  <c r="S17"/>
  <c r="R17"/>
  <c r="Q17"/>
  <c r="P17"/>
  <c r="O17"/>
  <c r="F17" s="1"/>
  <c r="N17"/>
  <c r="M17"/>
  <c r="L17"/>
  <c r="K17"/>
  <c r="H17" s="1"/>
  <c r="J17"/>
  <c r="I17"/>
  <c r="G17"/>
  <c r="E17"/>
  <c r="D17"/>
  <c r="AY16"/>
  <c r="AX16"/>
  <c r="AW16"/>
  <c r="AV16"/>
  <c r="AU16"/>
  <c r="AJ16"/>
  <c r="AI16"/>
  <c r="AH16"/>
  <c r="AG16"/>
  <c r="AF16"/>
  <c r="AE16"/>
  <c r="AD16"/>
  <c r="T16"/>
  <c r="S16"/>
  <c r="R16"/>
  <c r="Q16"/>
  <c r="G16" s="1"/>
  <c r="P16"/>
  <c r="O16"/>
  <c r="N16"/>
  <c r="M16"/>
  <c r="L16"/>
  <c r="K16"/>
  <c r="J16"/>
  <c r="I16"/>
  <c r="E16"/>
  <c r="D16"/>
  <c r="AY15"/>
  <c r="AX15"/>
  <c r="AW15"/>
  <c r="AV15"/>
  <c r="AU15"/>
  <c r="AJ15"/>
  <c r="AI15"/>
  <c r="AH15"/>
  <c r="AG15"/>
  <c r="AF15"/>
  <c r="AE15"/>
  <c r="AD15"/>
  <c r="T15"/>
  <c r="S15"/>
  <c r="R15"/>
  <c r="Q15"/>
  <c r="G15" s="1"/>
  <c r="P15"/>
  <c r="O15"/>
  <c r="N15"/>
  <c r="M15"/>
  <c r="L15"/>
  <c r="K15"/>
  <c r="J15"/>
  <c r="I15"/>
  <c r="E15"/>
  <c r="D15"/>
  <c r="AY14"/>
  <c r="AX14"/>
  <c r="AW14"/>
  <c r="AV14"/>
  <c r="AU14"/>
  <c r="AJ14"/>
  <c r="AI14"/>
  <c r="AH14"/>
  <c r="AG14"/>
  <c r="AF14"/>
  <c r="AE14"/>
  <c r="AD14"/>
  <c r="T14"/>
  <c r="S14"/>
  <c r="R14"/>
  <c r="Q14"/>
  <c r="G14" s="1"/>
  <c r="P14"/>
  <c r="O14"/>
  <c r="N14"/>
  <c r="M14"/>
  <c r="L14"/>
  <c r="K14"/>
  <c r="J14"/>
  <c r="I14"/>
  <c r="E14"/>
  <c r="D14"/>
  <c r="C13"/>
  <c r="AY11"/>
  <c r="AX11"/>
  <c r="AW11"/>
  <c r="AV11"/>
  <c r="AU11"/>
  <c r="AZ11" s="1"/>
  <c r="AS11"/>
  <c r="AQ11"/>
  <c r="AO11"/>
  <c r="AM11"/>
  <c r="AJ11"/>
  <c r="AI11"/>
  <c r="AH11"/>
  <c r="AG11"/>
  <c r="Z11" s="1"/>
  <c r="AF11"/>
  <c r="AE11"/>
  <c r="AB11" s="1"/>
  <c r="AD11"/>
  <c r="AK11" s="1"/>
  <c r="AC11"/>
  <c r="AA11"/>
  <c r="Y11"/>
  <c r="W11"/>
  <c r="U11"/>
  <c r="T11"/>
  <c r="S11"/>
  <c r="R11"/>
  <c r="Q11"/>
  <c r="P11"/>
  <c r="O11"/>
  <c r="N11"/>
  <c r="M11"/>
  <c r="F11" s="1"/>
  <c r="L11"/>
  <c r="K11"/>
  <c r="J11"/>
  <c r="I11"/>
  <c r="H11"/>
  <c r="G11"/>
  <c r="E11"/>
  <c r="D11"/>
  <c r="AY10"/>
  <c r="AX10"/>
  <c r="AZ10" s="1"/>
  <c r="AW10"/>
  <c r="AV10"/>
  <c r="AS10" s="1"/>
  <c r="AU10"/>
  <c r="AT10"/>
  <c r="AR10"/>
  <c r="AP10"/>
  <c r="AN10"/>
  <c r="AJ10"/>
  <c r="AL10" s="1"/>
  <c r="AI10"/>
  <c r="AH10"/>
  <c r="AG10"/>
  <c r="AF10"/>
  <c r="Y10" s="1"/>
  <c r="AE10"/>
  <c r="AD10"/>
  <c r="AK10" s="1"/>
  <c r="AB10"/>
  <c r="Z10"/>
  <c r="X10"/>
  <c r="V10"/>
  <c r="T10"/>
  <c r="S10"/>
  <c r="R10"/>
  <c r="Q10"/>
  <c r="P10"/>
  <c r="O10"/>
  <c r="N10"/>
  <c r="G10" s="1"/>
  <c r="M10"/>
  <c r="L10"/>
  <c r="K10"/>
  <c r="J10"/>
  <c r="I10"/>
  <c r="H10"/>
  <c r="F10"/>
  <c r="E10"/>
  <c r="D10"/>
  <c r="AY9"/>
  <c r="AX9"/>
  <c r="AW9"/>
  <c r="AV9"/>
  <c r="AU9"/>
  <c r="AJ9"/>
  <c r="AI9"/>
  <c r="AH9"/>
  <c r="AG9"/>
  <c r="AF9"/>
  <c r="AE9"/>
  <c r="AD9"/>
  <c r="T9"/>
  <c r="S9"/>
  <c r="R9"/>
  <c r="Q9"/>
  <c r="P9"/>
  <c r="O9"/>
  <c r="N9"/>
  <c r="M9"/>
  <c r="L9"/>
  <c r="K9"/>
  <c r="J9"/>
  <c r="I9"/>
  <c r="H9"/>
  <c r="E9"/>
  <c r="D9"/>
  <c r="AY8"/>
  <c r="AX8"/>
  <c r="AW8"/>
  <c r="AV8"/>
  <c r="AU8"/>
  <c r="AJ8"/>
  <c r="AI8"/>
  <c r="AH8"/>
  <c r="AG8"/>
  <c r="AF8"/>
  <c r="AE8"/>
  <c r="AD8"/>
  <c r="T8"/>
  <c r="S8"/>
  <c r="R8"/>
  <c r="Q8"/>
  <c r="P8"/>
  <c r="O8"/>
  <c r="N8"/>
  <c r="M8"/>
  <c r="L8"/>
  <c r="K8"/>
  <c r="J8"/>
  <c r="I8"/>
  <c r="H8"/>
  <c r="E8"/>
  <c r="D8"/>
  <c r="AY7"/>
  <c r="AX7"/>
  <c r="AW7"/>
  <c r="AV7"/>
  <c r="AU7"/>
  <c r="AJ7"/>
  <c r="AI7"/>
  <c r="AH7"/>
  <c r="AG7"/>
  <c r="AF7"/>
  <c r="AE7"/>
  <c r="AD7"/>
  <c r="T7"/>
  <c r="S7"/>
  <c r="R7"/>
  <c r="Q7"/>
  <c r="P7"/>
  <c r="O7"/>
  <c r="N7"/>
  <c r="M7"/>
  <c r="L7"/>
  <c r="K7"/>
  <c r="J7"/>
  <c r="I7"/>
  <c r="H7"/>
  <c r="E7"/>
  <c r="D7"/>
  <c r="AY6"/>
  <c r="AX6"/>
  <c r="AW6"/>
  <c r="AV6"/>
  <c r="AU6"/>
  <c r="AJ6"/>
  <c r="AI6"/>
  <c r="AH6"/>
  <c r="AG6"/>
  <c r="AF6"/>
  <c r="AE6"/>
  <c r="AD6"/>
  <c r="T6"/>
  <c r="S6"/>
  <c r="R6"/>
  <c r="Q6"/>
  <c r="P6"/>
  <c r="O6"/>
  <c r="N6"/>
  <c r="M6"/>
  <c r="L6"/>
  <c r="K6"/>
  <c r="J6"/>
  <c r="I6"/>
  <c r="H6"/>
  <c r="E6"/>
  <c r="D6"/>
  <c r="AY5"/>
  <c r="AX5"/>
  <c r="AW5"/>
  <c r="AV5"/>
  <c r="AU5"/>
  <c r="AJ5"/>
  <c r="AI5"/>
  <c r="AH5"/>
  <c r="AG5"/>
  <c r="AF5"/>
  <c r="AE5"/>
  <c r="AD5"/>
  <c r="T5"/>
  <c r="S5"/>
  <c r="R5"/>
  <c r="Q5"/>
  <c r="P5"/>
  <c r="O5"/>
  <c r="N5"/>
  <c r="M5"/>
  <c r="L5"/>
  <c r="K5"/>
  <c r="J5"/>
  <c r="I5"/>
  <c r="H5"/>
  <c r="E5"/>
  <c r="D5"/>
  <c r="AY4"/>
  <c r="AX4"/>
  <c r="AW4"/>
  <c r="AV4"/>
  <c r="AU4"/>
  <c r="AJ4"/>
  <c r="AI4"/>
  <c r="AH4"/>
  <c r="AG4"/>
  <c r="AF4"/>
  <c r="AE4"/>
  <c r="AD4"/>
  <c r="T4"/>
  <c r="S4"/>
  <c r="R4"/>
  <c r="Q4"/>
  <c r="P4"/>
  <c r="O4"/>
  <c r="N4"/>
  <c r="M4"/>
  <c r="L4"/>
  <c r="K4"/>
  <c r="J4"/>
  <c r="I4"/>
  <c r="H4"/>
  <c r="E4"/>
  <c r="D4"/>
  <c r="AY3"/>
  <c r="AX3"/>
  <c r="AW3"/>
  <c r="AV3"/>
  <c r="AU3"/>
  <c r="AJ3"/>
  <c r="AI3"/>
  <c r="AH3"/>
  <c r="AG3"/>
  <c r="AF3"/>
  <c r="AE3"/>
  <c r="AD3"/>
  <c r="AC3" s="1"/>
  <c r="T3"/>
  <c r="S3"/>
  <c r="R3"/>
  <c r="Q3"/>
  <c r="P3"/>
  <c r="O3"/>
  <c r="N3"/>
  <c r="M3"/>
  <c r="L3"/>
  <c r="K3"/>
  <c r="J3"/>
  <c r="I3"/>
  <c r="H3"/>
  <c r="E3"/>
  <c r="D3"/>
  <c r="C2"/>
  <c r="B23" i="26"/>
  <c r="B24"/>
  <c r="B25"/>
  <c r="B27"/>
  <c r="B28"/>
  <c r="B33"/>
  <c r="C33"/>
  <c r="B34"/>
  <c r="C34"/>
  <c r="B35"/>
  <c r="C35"/>
  <c r="CM11" i="5"/>
  <c r="CM28"/>
  <c r="CM42"/>
  <c r="CM21"/>
  <c r="CM18"/>
  <c r="CM32"/>
  <c r="CM29"/>
  <c r="CM45"/>
  <c r="CM22"/>
  <c r="CM17"/>
  <c r="CM44"/>
  <c r="CM30"/>
  <c r="CM36"/>
  <c r="CM53"/>
  <c r="CM48"/>
  <c r="CM49"/>
  <c r="CM27"/>
  <c r="CM50"/>
  <c r="CM25"/>
  <c r="CM54"/>
  <c r="CM64"/>
  <c r="CM33"/>
  <c r="CM62"/>
  <c r="CM39"/>
  <c r="CM52"/>
  <c r="CM43"/>
  <c r="CM41"/>
  <c r="CM24"/>
  <c r="CM63"/>
  <c r="CM31"/>
  <c r="CM35"/>
  <c r="CM20"/>
  <c r="CM59"/>
  <c r="CM58"/>
  <c r="CM65"/>
  <c r="CM70"/>
  <c r="CM69"/>
  <c r="CM74"/>
  <c r="CM23"/>
  <c r="CM38"/>
  <c r="CM60"/>
  <c r="CM56"/>
  <c r="CM46"/>
  <c r="CM68"/>
  <c r="CM57"/>
  <c r="CM55"/>
  <c r="CM67"/>
  <c r="CM66"/>
  <c r="CM73"/>
  <c r="CM12"/>
  <c r="CM61"/>
  <c r="CM51"/>
  <c r="CM40"/>
  <c r="CM72"/>
  <c r="CM37"/>
  <c r="CM47"/>
  <c r="CM34"/>
  <c r="CM71"/>
  <c r="CM19"/>
  <c r="CL11"/>
  <c r="CL28"/>
  <c r="CL42"/>
  <c r="CL21"/>
  <c r="CL18"/>
  <c r="CL32"/>
  <c r="CL29"/>
  <c r="CL45"/>
  <c r="CL22"/>
  <c r="CL17"/>
  <c r="CL44"/>
  <c r="CL30"/>
  <c r="CL36"/>
  <c r="CL53"/>
  <c r="CL48"/>
  <c r="CL49"/>
  <c r="CL27"/>
  <c r="CL50"/>
  <c r="CL25"/>
  <c r="CL54"/>
  <c r="CL64"/>
  <c r="CL33"/>
  <c r="CL62"/>
  <c r="CL39"/>
  <c r="CL52"/>
  <c r="CL43"/>
  <c r="CL41"/>
  <c r="CL24"/>
  <c r="CL63"/>
  <c r="CL31"/>
  <c r="CL35"/>
  <c r="CL20"/>
  <c r="CL59"/>
  <c r="CL58"/>
  <c r="CL65"/>
  <c r="CL70"/>
  <c r="CL69"/>
  <c r="CL74"/>
  <c r="CL23"/>
  <c r="CL38"/>
  <c r="CL60"/>
  <c r="CL56"/>
  <c r="CL46"/>
  <c r="CL68"/>
  <c r="CL57"/>
  <c r="CL55"/>
  <c r="CL67"/>
  <c r="CL66"/>
  <c r="CL73"/>
  <c r="CL12"/>
  <c r="CL61"/>
  <c r="CL51"/>
  <c r="CL40"/>
  <c r="CL72"/>
  <c r="CL37"/>
  <c r="CL47"/>
  <c r="CL34"/>
  <c r="CL71"/>
  <c r="CL19"/>
  <c r="CJ19"/>
  <c r="CK11"/>
  <c r="CK28"/>
  <c r="CK42"/>
  <c r="CK21"/>
  <c r="CK18"/>
  <c r="CK32"/>
  <c r="CK29"/>
  <c r="CK45"/>
  <c r="CK22"/>
  <c r="CK17"/>
  <c r="CK44"/>
  <c r="CK30"/>
  <c r="CK36"/>
  <c r="CK53"/>
  <c r="CK48"/>
  <c r="CK49"/>
  <c r="CK27"/>
  <c r="CK50"/>
  <c r="CK25"/>
  <c r="CK54"/>
  <c r="CK64"/>
  <c r="CK33"/>
  <c r="CK62"/>
  <c r="CK39"/>
  <c r="CK52"/>
  <c r="CK43"/>
  <c r="CK41"/>
  <c r="CK24"/>
  <c r="CK63"/>
  <c r="CK31"/>
  <c r="CK35"/>
  <c r="CK20"/>
  <c r="CK59"/>
  <c r="CK58"/>
  <c r="CK65"/>
  <c r="CK70"/>
  <c r="CK69"/>
  <c r="CK74"/>
  <c r="CK23"/>
  <c r="CK38"/>
  <c r="CK60"/>
  <c r="CK56"/>
  <c r="CK46"/>
  <c r="CK68"/>
  <c r="CK57"/>
  <c r="CK55"/>
  <c r="CK67"/>
  <c r="CK66"/>
  <c r="CK73"/>
  <c r="CK12"/>
  <c r="CK61"/>
  <c r="CK51"/>
  <c r="CK40"/>
  <c r="CK72"/>
  <c r="CK37"/>
  <c r="CK47"/>
  <c r="CK34"/>
  <c r="CK71"/>
  <c r="CK19"/>
  <c r="CI11"/>
  <c r="CI28"/>
  <c r="CI42"/>
  <c r="CI21"/>
  <c r="CI18"/>
  <c r="CI32"/>
  <c r="CI29"/>
  <c r="CI45"/>
  <c r="CI22"/>
  <c r="CI17"/>
  <c r="CI44"/>
  <c r="CI30"/>
  <c r="CI36"/>
  <c r="CI53"/>
  <c r="CI48"/>
  <c r="CI49"/>
  <c r="CI27"/>
  <c r="CI50"/>
  <c r="CI25"/>
  <c r="CI54"/>
  <c r="CI64"/>
  <c r="CI33"/>
  <c r="CI62"/>
  <c r="CI39"/>
  <c r="CI52"/>
  <c r="CI43"/>
  <c r="CI41"/>
  <c r="CI24"/>
  <c r="CI63"/>
  <c r="CI31"/>
  <c r="CI35"/>
  <c r="CI20"/>
  <c r="CI59"/>
  <c r="CI58"/>
  <c r="CI65"/>
  <c r="CI70"/>
  <c r="CI69"/>
  <c r="CI74"/>
  <c r="CI23"/>
  <c r="CI38"/>
  <c r="CI60"/>
  <c r="CI56"/>
  <c r="CI46"/>
  <c r="CI68"/>
  <c r="CI57"/>
  <c r="CI55"/>
  <c r="CI67"/>
  <c r="CI66"/>
  <c r="CI73"/>
  <c r="CI12"/>
  <c r="CI61"/>
  <c r="CI51"/>
  <c r="CI40"/>
  <c r="CI72"/>
  <c r="CI37"/>
  <c r="CI47"/>
  <c r="CI34"/>
  <c r="CI71"/>
  <c r="CI19"/>
  <c r="CH11"/>
  <c r="CJ11"/>
  <c r="CH28"/>
  <c r="CJ28"/>
  <c r="CH42"/>
  <c r="CJ42"/>
  <c r="CH21"/>
  <c r="CJ21"/>
  <c r="CH18"/>
  <c r="CJ18"/>
  <c r="CH32"/>
  <c r="CJ32"/>
  <c r="CH29"/>
  <c r="CJ29"/>
  <c r="CH45"/>
  <c r="CJ45"/>
  <c r="CH22"/>
  <c r="CJ22"/>
  <c r="CH17"/>
  <c r="CJ17"/>
  <c r="CH44"/>
  <c r="CJ44"/>
  <c r="CH30"/>
  <c r="CJ30"/>
  <c r="CH36"/>
  <c r="CJ36"/>
  <c r="CH53"/>
  <c r="CJ53"/>
  <c r="CH48"/>
  <c r="CJ48"/>
  <c r="CH49"/>
  <c r="CJ49"/>
  <c r="CH27"/>
  <c r="CJ27"/>
  <c r="CH50"/>
  <c r="CJ50"/>
  <c r="CH25"/>
  <c r="CJ25"/>
  <c r="CH54"/>
  <c r="CJ54"/>
  <c r="CH64"/>
  <c r="CJ64"/>
  <c r="CH33"/>
  <c r="CJ33"/>
  <c r="CH62"/>
  <c r="CJ62"/>
  <c r="CH39"/>
  <c r="CJ39"/>
  <c r="CH52"/>
  <c r="CJ52"/>
  <c r="CH43"/>
  <c r="CJ43"/>
  <c r="CH41"/>
  <c r="CJ41"/>
  <c r="CH24"/>
  <c r="CJ24"/>
  <c r="CH63"/>
  <c r="CJ63"/>
  <c r="CH31"/>
  <c r="CJ31"/>
  <c r="CH35"/>
  <c r="CJ35"/>
  <c r="CH20"/>
  <c r="CJ20"/>
  <c r="CH59"/>
  <c r="CJ59"/>
  <c r="CH58"/>
  <c r="CJ58"/>
  <c r="CH65"/>
  <c r="CJ65"/>
  <c r="CH70"/>
  <c r="CJ70"/>
  <c r="CH69"/>
  <c r="CJ69"/>
  <c r="CH74"/>
  <c r="CJ74"/>
  <c r="CH23"/>
  <c r="CJ23"/>
  <c r="CH38"/>
  <c r="CJ38"/>
  <c r="CH60"/>
  <c r="CJ60"/>
  <c r="CH56"/>
  <c r="CJ56"/>
  <c r="CH46"/>
  <c r="CJ46"/>
  <c r="CH68"/>
  <c r="CJ68"/>
  <c r="CH57"/>
  <c r="CJ57"/>
  <c r="CH55"/>
  <c r="CJ55"/>
  <c r="CH67"/>
  <c r="CJ67"/>
  <c r="CH66"/>
  <c r="CJ66"/>
  <c r="CH73"/>
  <c r="CJ73"/>
  <c r="CH12"/>
  <c r="CJ12"/>
  <c r="CH61"/>
  <c r="CJ61"/>
  <c r="CH51"/>
  <c r="CJ51"/>
  <c r="CH40"/>
  <c r="CJ40"/>
  <c r="CH72"/>
  <c r="CJ72"/>
  <c r="CH37"/>
  <c r="CJ37"/>
  <c r="CH47"/>
  <c r="CJ47"/>
  <c r="CH34"/>
  <c r="CJ34"/>
  <c r="CH71"/>
  <c r="CJ71"/>
  <c r="CH19"/>
  <c r="CG11"/>
  <c r="CG28"/>
  <c r="CG42"/>
  <c r="CG21"/>
  <c r="CG18"/>
  <c r="CG32"/>
  <c r="CG29"/>
  <c r="CG45"/>
  <c r="CG22"/>
  <c r="CG17"/>
  <c r="CG44"/>
  <c r="CG30"/>
  <c r="CG36"/>
  <c r="CG53"/>
  <c r="CG48"/>
  <c r="CG49"/>
  <c r="CG27"/>
  <c r="CG50"/>
  <c r="CG25"/>
  <c r="CG54"/>
  <c r="CG64"/>
  <c r="CG33"/>
  <c r="CG62"/>
  <c r="CG39"/>
  <c r="CG52"/>
  <c r="CG43"/>
  <c r="CG41"/>
  <c r="CG24"/>
  <c r="CG63"/>
  <c r="CG31"/>
  <c r="CG35"/>
  <c r="CG20"/>
  <c r="CG59"/>
  <c r="CG58"/>
  <c r="CG65"/>
  <c r="CG70"/>
  <c r="CG69"/>
  <c r="CG74"/>
  <c r="CG23"/>
  <c r="CG38"/>
  <c r="CG60"/>
  <c r="CG56"/>
  <c r="CG46"/>
  <c r="CG68"/>
  <c r="CG57"/>
  <c r="CG55"/>
  <c r="CG67"/>
  <c r="CG66"/>
  <c r="CG73"/>
  <c r="CG12"/>
  <c r="CG61"/>
  <c r="CG51"/>
  <c r="CG40"/>
  <c r="CG72"/>
  <c r="CG37"/>
  <c r="CG47"/>
  <c r="CG34"/>
  <c r="CG71"/>
  <c r="CG19"/>
  <c r="CF62"/>
  <c r="CF33"/>
  <c r="CF64"/>
  <c r="CF54"/>
  <c r="CF25"/>
  <c r="CF50"/>
  <c r="CF27"/>
  <c r="CF49"/>
  <c r="CF48"/>
  <c r="CF53"/>
  <c r="CF36"/>
  <c r="CF30"/>
  <c r="CF44"/>
  <c r="CF17"/>
  <c r="CF22"/>
  <c r="CF45"/>
  <c r="CF29"/>
  <c r="CF32"/>
  <c r="CF18"/>
  <c r="CF21"/>
  <c r="CF42"/>
  <c r="CF28"/>
  <c r="CF11"/>
  <c r="CF19"/>
  <c r="CF52"/>
  <c r="CF43"/>
  <c r="CN43" s="1"/>
  <c r="CF41"/>
  <c r="CF24"/>
  <c r="CN24" s="1"/>
  <c r="CF63"/>
  <c r="CF31"/>
  <c r="CN31" s="1"/>
  <c r="CF35"/>
  <c r="CF20"/>
  <c r="CN20" s="1"/>
  <c r="CF59"/>
  <c r="CF58"/>
  <c r="CN58" s="1"/>
  <c r="CF65"/>
  <c r="CF70"/>
  <c r="CN70" s="1"/>
  <c r="CF69"/>
  <c r="CF74"/>
  <c r="CN74" s="1"/>
  <c r="CF23"/>
  <c r="CF38"/>
  <c r="CN38" s="1"/>
  <c r="CF60"/>
  <c r="CF56"/>
  <c r="CN56" s="1"/>
  <c r="CF46"/>
  <c r="CF68"/>
  <c r="CF57"/>
  <c r="CN57" s="1"/>
  <c r="CF55"/>
  <c r="CF67"/>
  <c r="CN67" s="1"/>
  <c r="CF66"/>
  <c r="CF73"/>
  <c r="CN73" s="1"/>
  <c r="CF12"/>
  <c r="CF61"/>
  <c r="CN61" s="1"/>
  <c r="CF51"/>
  <c r="CF40"/>
  <c r="CN40" s="1"/>
  <c r="CF72"/>
  <c r="CF37"/>
  <c r="CF47"/>
  <c r="CF34"/>
  <c r="CF71"/>
  <c r="CF39"/>
  <c r="AG72" i="34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AG71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F68"/>
  <c r="AE68"/>
  <c r="AD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I68"/>
  <c r="E68"/>
  <c r="D68"/>
  <c r="AF67"/>
  <c r="AE67"/>
  <c r="AD67"/>
  <c r="AB67"/>
  <c r="AA67"/>
  <c r="Z67"/>
  <c r="N67"/>
  <c r="M67"/>
  <c r="L67"/>
  <c r="K67"/>
  <c r="I67"/>
  <c r="E67"/>
  <c r="D67"/>
  <c r="AF66"/>
  <c r="AE66"/>
  <c r="AD66"/>
  <c r="AB66"/>
  <c r="AA66"/>
  <c r="Z66"/>
  <c r="N66"/>
  <c r="M66"/>
  <c r="L66"/>
  <c r="K66"/>
  <c r="I66"/>
  <c r="E66"/>
  <c r="D66"/>
  <c r="AF65"/>
  <c r="AE65"/>
  <c r="AD65"/>
  <c r="AB65"/>
  <c r="AA65"/>
  <c r="Z65"/>
  <c r="N65"/>
  <c r="M65"/>
  <c r="L65"/>
  <c r="K65"/>
  <c r="I65"/>
  <c r="E65"/>
  <c r="D65"/>
  <c r="AF64"/>
  <c r="AE64"/>
  <c r="AD64"/>
  <c r="AB64"/>
  <c r="AA64"/>
  <c r="Z64"/>
  <c r="N64"/>
  <c r="M64"/>
  <c r="L64"/>
  <c r="K64"/>
  <c r="I64"/>
  <c r="E64"/>
  <c r="D64"/>
  <c r="AF63"/>
  <c r="AE63"/>
  <c r="AD63"/>
  <c r="AB63"/>
  <c r="AA63"/>
  <c r="Z63"/>
  <c r="N63"/>
  <c r="M63"/>
  <c r="L63"/>
  <c r="K63"/>
  <c r="I63"/>
  <c r="E63"/>
  <c r="D63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AF59"/>
  <c r="AE59"/>
  <c r="AD59"/>
  <c r="AB59"/>
  <c r="AA59"/>
  <c r="Z59"/>
  <c r="N59"/>
  <c r="M59"/>
  <c r="L59"/>
  <c r="K59"/>
  <c r="I59"/>
  <c r="E59"/>
  <c r="D59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AF55"/>
  <c r="AE55"/>
  <c r="AD55"/>
  <c r="AB55"/>
  <c r="AA55"/>
  <c r="Z55"/>
  <c r="N55"/>
  <c r="M55"/>
  <c r="L55"/>
  <c r="K55"/>
  <c r="I55"/>
  <c r="E55"/>
  <c r="D55"/>
  <c r="AF54"/>
  <c r="AE54"/>
  <c r="AD54"/>
  <c r="AB54"/>
  <c r="AA54"/>
  <c r="Z54"/>
  <c r="N54"/>
  <c r="M54"/>
  <c r="L54"/>
  <c r="K54"/>
  <c r="I54"/>
  <c r="E54"/>
  <c r="D54"/>
  <c r="AF53"/>
  <c r="AE53"/>
  <c r="AD53"/>
  <c r="AB53"/>
  <c r="AA53"/>
  <c r="Z53"/>
  <c r="N53"/>
  <c r="M53"/>
  <c r="L53"/>
  <c r="K53"/>
  <c r="I53"/>
  <c r="E53"/>
  <c r="D53"/>
  <c r="AF52"/>
  <c r="AE52"/>
  <c r="AD52"/>
  <c r="AB52"/>
  <c r="AA52"/>
  <c r="Z52"/>
  <c r="N52"/>
  <c r="M52"/>
  <c r="L52"/>
  <c r="K52"/>
  <c r="I52"/>
  <c r="E52"/>
  <c r="D52"/>
  <c r="AF51"/>
  <c r="AE51"/>
  <c r="AD51"/>
  <c r="AB51"/>
  <c r="AA51"/>
  <c r="Z51"/>
  <c r="N51"/>
  <c r="M51"/>
  <c r="L51"/>
  <c r="K51"/>
  <c r="I51"/>
  <c r="E51"/>
  <c r="D51"/>
  <c r="P49"/>
  <c r="P67" s="1"/>
  <c r="O49"/>
  <c r="O67" s="1"/>
  <c r="C47"/>
  <c r="C46"/>
  <c r="R44"/>
  <c r="X38" s="1"/>
  <c r="Q44"/>
  <c r="P44"/>
  <c r="O44"/>
  <c r="N44"/>
  <c r="M44"/>
  <c r="L44"/>
  <c r="K44"/>
  <c r="J44"/>
  <c r="H44"/>
  <c r="G44"/>
  <c r="F44"/>
  <c r="E44"/>
  <c r="R43"/>
  <c r="Q43"/>
  <c r="W39" s="1"/>
  <c r="P43"/>
  <c r="O43"/>
  <c r="N43"/>
  <c r="M43"/>
  <c r="L43"/>
  <c r="K43"/>
  <c r="J43"/>
  <c r="H43"/>
  <c r="G43"/>
  <c r="F43"/>
  <c r="E43"/>
  <c r="R42"/>
  <c r="X41" s="1"/>
  <c r="Q42"/>
  <c r="W41" s="1"/>
  <c r="P42"/>
  <c r="O42"/>
  <c r="N42"/>
  <c r="M42"/>
  <c r="L42"/>
  <c r="K42"/>
  <c r="J42"/>
  <c r="H42"/>
  <c r="G42"/>
  <c r="F42"/>
  <c r="E42"/>
  <c r="R41"/>
  <c r="X43" s="1"/>
  <c r="Q41"/>
  <c r="W43" s="1"/>
  <c r="P41"/>
  <c r="O41"/>
  <c r="N41"/>
  <c r="M41"/>
  <c r="L41"/>
  <c r="K41"/>
  <c r="J41"/>
  <c r="H41"/>
  <c r="G41"/>
  <c r="F41"/>
  <c r="E41"/>
  <c r="R40"/>
  <c r="X36" s="1"/>
  <c r="Q40"/>
  <c r="W36" s="1"/>
  <c r="P40"/>
  <c r="O40"/>
  <c r="N40"/>
  <c r="M40"/>
  <c r="L40"/>
  <c r="K40"/>
  <c r="J40"/>
  <c r="H40"/>
  <c r="G40"/>
  <c r="F40"/>
  <c r="E40"/>
  <c r="X39"/>
  <c r="R39"/>
  <c r="X37" s="1"/>
  <c r="Q39"/>
  <c r="W37" s="1"/>
  <c r="P39"/>
  <c r="O39"/>
  <c r="N39"/>
  <c r="M39"/>
  <c r="L39"/>
  <c r="K39"/>
  <c r="J39"/>
  <c r="H39"/>
  <c r="G39"/>
  <c r="F39"/>
  <c r="E39"/>
  <c r="W38"/>
  <c r="R38"/>
  <c r="X40" s="1"/>
  <c r="Q38"/>
  <c r="W40" s="1"/>
  <c r="P38"/>
  <c r="O38"/>
  <c r="N38"/>
  <c r="M38"/>
  <c r="L38"/>
  <c r="K38"/>
  <c r="J38"/>
  <c r="H38"/>
  <c r="G38"/>
  <c r="F38"/>
  <c r="E38"/>
  <c r="R37"/>
  <c r="Q37"/>
  <c r="P37"/>
  <c r="O37"/>
  <c r="N37"/>
  <c r="M37"/>
  <c r="L37"/>
  <c r="K37"/>
  <c r="J37"/>
  <c r="H37"/>
  <c r="G37"/>
  <c r="F37"/>
  <c r="E37"/>
  <c r="R36"/>
  <c r="X42" s="1"/>
  <c r="Q36"/>
  <c r="W42" s="1"/>
  <c r="P36"/>
  <c r="O36"/>
  <c r="N36"/>
  <c r="M36"/>
  <c r="L36"/>
  <c r="K36"/>
  <c r="J36"/>
  <c r="H36"/>
  <c r="G36"/>
  <c r="F36"/>
  <c r="E36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AY31"/>
  <c r="AX31"/>
  <c r="AW31"/>
  <c r="AV31"/>
  <c r="AU31"/>
  <c r="AJ31"/>
  <c r="AI31"/>
  <c r="AH31"/>
  <c r="AG31"/>
  <c r="AF31"/>
  <c r="AE31"/>
  <c r="AD31"/>
  <c r="T31"/>
  <c r="S31"/>
  <c r="R31"/>
  <c r="Q31"/>
  <c r="P31"/>
  <c r="O31"/>
  <c r="N31"/>
  <c r="M31"/>
  <c r="L31"/>
  <c r="K31"/>
  <c r="J31"/>
  <c r="I31"/>
  <c r="H31"/>
  <c r="G31"/>
  <c r="F31"/>
  <c r="E31"/>
  <c r="D31"/>
  <c r="AY30"/>
  <c r="AX30"/>
  <c r="AW30"/>
  <c r="AV30"/>
  <c r="AU30"/>
  <c r="AJ30"/>
  <c r="AI30"/>
  <c r="AH30"/>
  <c r="AG30"/>
  <c r="AF30"/>
  <c r="AE30"/>
  <c r="AD30"/>
  <c r="T30"/>
  <c r="S30"/>
  <c r="R30"/>
  <c r="Q30"/>
  <c r="P30"/>
  <c r="O30"/>
  <c r="N30"/>
  <c r="M30"/>
  <c r="L30"/>
  <c r="K30"/>
  <c r="J30"/>
  <c r="I30"/>
  <c r="H30"/>
  <c r="G30"/>
  <c r="F30"/>
  <c r="E30"/>
  <c r="D30"/>
  <c r="C29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Y24"/>
  <c r="AX24"/>
  <c r="AW24"/>
  <c r="AV24"/>
  <c r="AU24"/>
  <c r="AJ24"/>
  <c r="AI24"/>
  <c r="AH24"/>
  <c r="AG24"/>
  <c r="AF24"/>
  <c r="AE24"/>
  <c r="AD24"/>
  <c r="T24"/>
  <c r="S24"/>
  <c r="R24"/>
  <c r="Q24"/>
  <c r="G24" s="1"/>
  <c r="P24"/>
  <c r="O24"/>
  <c r="N24"/>
  <c r="M24"/>
  <c r="L24"/>
  <c r="K24"/>
  <c r="J24"/>
  <c r="I24"/>
  <c r="E24"/>
  <c r="D24"/>
  <c r="AY23"/>
  <c r="AX23"/>
  <c r="AW23"/>
  <c r="AV23"/>
  <c r="AU23"/>
  <c r="AJ23"/>
  <c r="AI23"/>
  <c r="AH23"/>
  <c r="AG23"/>
  <c r="AF23"/>
  <c r="AE23"/>
  <c r="AD23"/>
  <c r="T23"/>
  <c r="S23"/>
  <c r="R23"/>
  <c r="Q23"/>
  <c r="G23" s="1"/>
  <c r="P23"/>
  <c r="O23"/>
  <c r="N23"/>
  <c r="M23"/>
  <c r="L23"/>
  <c r="K23"/>
  <c r="J23"/>
  <c r="I23"/>
  <c r="E23"/>
  <c r="D23"/>
  <c r="AY22"/>
  <c r="AX22"/>
  <c r="AW22"/>
  <c r="AV22"/>
  <c r="AU22"/>
  <c r="AJ22"/>
  <c r="AI22"/>
  <c r="AH22"/>
  <c r="AG22"/>
  <c r="AF22"/>
  <c r="AE22"/>
  <c r="AD22"/>
  <c r="T22"/>
  <c r="S22"/>
  <c r="R22"/>
  <c r="Q22"/>
  <c r="G22" s="1"/>
  <c r="P22"/>
  <c r="O22"/>
  <c r="N22"/>
  <c r="M22"/>
  <c r="L22"/>
  <c r="K22"/>
  <c r="J22"/>
  <c r="I22"/>
  <c r="E22"/>
  <c r="D22"/>
  <c r="AY21"/>
  <c r="AX21"/>
  <c r="AW21"/>
  <c r="AV21"/>
  <c r="AU21"/>
  <c r="AJ21"/>
  <c r="AI21"/>
  <c r="AH21"/>
  <c r="AG21"/>
  <c r="AF21"/>
  <c r="AE21"/>
  <c r="AD21"/>
  <c r="T21"/>
  <c r="S21"/>
  <c r="R21"/>
  <c r="Q21"/>
  <c r="G21" s="1"/>
  <c r="P21"/>
  <c r="O21"/>
  <c r="N21"/>
  <c r="M21"/>
  <c r="L21"/>
  <c r="K21"/>
  <c r="J21"/>
  <c r="I21"/>
  <c r="E21"/>
  <c r="D21"/>
  <c r="AY20"/>
  <c r="AX20"/>
  <c r="AW20"/>
  <c r="AV20"/>
  <c r="AU20"/>
  <c r="AJ20"/>
  <c r="AI20"/>
  <c r="AH20"/>
  <c r="AG20"/>
  <c r="AF20"/>
  <c r="AE20"/>
  <c r="AD20"/>
  <c r="T20"/>
  <c r="S20"/>
  <c r="R20"/>
  <c r="Q20"/>
  <c r="G20" s="1"/>
  <c r="P20"/>
  <c r="O20"/>
  <c r="N20"/>
  <c r="M20"/>
  <c r="L20"/>
  <c r="K20"/>
  <c r="J20"/>
  <c r="I20"/>
  <c r="E20"/>
  <c r="D20"/>
  <c r="C19"/>
  <c r="AZ17"/>
  <c r="AY17"/>
  <c r="AX17"/>
  <c r="AW17"/>
  <c r="AV17"/>
  <c r="AU17"/>
  <c r="AT17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AZ16"/>
  <c r="AY16"/>
  <c r="AX16"/>
  <c r="AW16"/>
  <c r="AV16"/>
  <c r="AU16"/>
  <c r="AT16"/>
  <c r="AS16"/>
  <c r="AR16"/>
  <c r="AQ16"/>
  <c r="AP16"/>
  <c r="AO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AZ15"/>
  <c r="AY15"/>
  <c r="AX15"/>
  <c r="AW15"/>
  <c r="AV15"/>
  <c r="AU15"/>
  <c r="AT15"/>
  <c r="AS15"/>
  <c r="AR15"/>
  <c r="AQ15"/>
  <c r="AP15"/>
  <c r="AO15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AZ13"/>
  <c r="AY13"/>
  <c r="AX13"/>
  <c r="AW13"/>
  <c r="AV13"/>
  <c r="AU13"/>
  <c r="AT13"/>
  <c r="AS13"/>
  <c r="AR13"/>
  <c r="AQ13"/>
  <c r="AP13"/>
  <c r="AO13"/>
  <c r="AN13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AY12"/>
  <c r="AX12"/>
  <c r="AW12"/>
  <c r="AP12" s="1"/>
  <c r="AV12"/>
  <c r="AU12"/>
  <c r="AS12" s="1"/>
  <c r="AJ12"/>
  <c r="AI12"/>
  <c r="AH12"/>
  <c r="AG12"/>
  <c r="AK12" s="1"/>
  <c r="AF12"/>
  <c r="AE12"/>
  <c r="AB12" s="1"/>
  <c r="AD12"/>
  <c r="AA12"/>
  <c r="Y12"/>
  <c r="W12"/>
  <c r="U12"/>
  <c r="T12"/>
  <c r="S12"/>
  <c r="R12"/>
  <c r="Q12"/>
  <c r="P12"/>
  <c r="O12"/>
  <c r="N12"/>
  <c r="M12"/>
  <c r="F12" s="1"/>
  <c r="L12"/>
  <c r="K12"/>
  <c r="J12"/>
  <c r="I12"/>
  <c r="H12"/>
  <c r="G12"/>
  <c r="E12"/>
  <c r="D12"/>
  <c r="AY11"/>
  <c r="AX11"/>
  <c r="AW11"/>
  <c r="AV11"/>
  <c r="AU11"/>
  <c r="AJ11"/>
  <c r="AI11"/>
  <c r="AH11"/>
  <c r="AG11"/>
  <c r="AF11"/>
  <c r="AE11"/>
  <c r="AD11"/>
  <c r="T11"/>
  <c r="S11"/>
  <c r="R11"/>
  <c r="Q11"/>
  <c r="P11"/>
  <c r="O11"/>
  <c r="N11"/>
  <c r="M11"/>
  <c r="L11"/>
  <c r="K11"/>
  <c r="J11"/>
  <c r="I11"/>
  <c r="H11"/>
  <c r="E11"/>
  <c r="D11"/>
  <c r="AY10"/>
  <c r="AX10"/>
  <c r="AW10"/>
  <c r="AV10"/>
  <c r="AU10"/>
  <c r="AJ10"/>
  <c r="AI10"/>
  <c r="AH10"/>
  <c r="AG10"/>
  <c r="AF10"/>
  <c r="AE10"/>
  <c r="AD10"/>
  <c r="T10"/>
  <c r="S10"/>
  <c r="R10"/>
  <c r="Q10"/>
  <c r="P10"/>
  <c r="O10"/>
  <c r="N10"/>
  <c r="M10"/>
  <c r="L10"/>
  <c r="K10"/>
  <c r="J10"/>
  <c r="I10"/>
  <c r="H10"/>
  <c r="E10"/>
  <c r="D10"/>
  <c r="AY9"/>
  <c r="AX9"/>
  <c r="AW9"/>
  <c r="AV9"/>
  <c r="AU9"/>
  <c r="AJ9"/>
  <c r="AI9"/>
  <c r="AH9"/>
  <c r="AG9"/>
  <c r="AF9"/>
  <c r="AE9"/>
  <c r="AD9"/>
  <c r="T9"/>
  <c r="S9"/>
  <c r="R9"/>
  <c r="Q9"/>
  <c r="P9"/>
  <c r="O9"/>
  <c r="N9"/>
  <c r="M9"/>
  <c r="L9"/>
  <c r="K9"/>
  <c r="J9"/>
  <c r="I9"/>
  <c r="H9"/>
  <c r="E9"/>
  <c r="D9"/>
  <c r="AY8"/>
  <c r="AX8"/>
  <c r="AW8"/>
  <c r="AV8"/>
  <c r="AU8"/>
  <c r="AJ8"/>
  <c r="AI8"/>
  <c r="AH8"/>
  <c r="AG8"/>
  <c r="AF8"/>
  <c r="AE8"/>
  <c r="AD8"/>
  <c r="T8"/>
  <c r="S8"/>
  <c r="R8"/>
  <c r="Q8"/>
  <c r="P8"/>
  <c r="O8"/>
  <c r="N8"/>
  <c r="M8"/>
  <c r="L8"/>
  <c r="K8"/>
  <c r="J8"/>
  <c r="I8"/>
  <c r="H8"/>
  <c r="E8"/>
  <c r="D8"/>
  <c r="AY7"/>
  <c r="AX7"/>
  <c r="AW7"/>
  <c r="AV7"/>
  <c r="AU7"/>
  <c r="AJ7"/>
  <c r="AI7"/>
  <c r="AH7"/>
  <c r="AG7"/>
  <c r="AF7"/>
  <c r="AE7"/>
  <c r="AD7"/>
  <c r="T7"/>
  <c r="S7"/>
  <c r="R7"/>
  <c r="Q7"/>
  <c r="P7"/>
  <c r="O7"/>
  <c r="N7"/>
  <c r="M7"/>
  <c r="L7"/>
  <c r="K7"/>
  <c r="J7"/>
  <c r="I7"/>
  <c r="H7"/>
  <c r="E7"/>
  <c r="D7"/>
  <c r="AY6"/>
  <c r="AX6"/>
  <c r="AW6"/>
  <c r="AV6"/>
  <c r="AU6"/>
  <c r="AJ6"/>
  <c r="AI6"/>
  <c r="AH6"/>
  <c r="AG6"/>
  <c r="AF6"/>
  <c r="AE6"/>
  <c r="AD6"/>
  <c r="T6"/>
  <c r="S6"/>
  <c r="R6"/>
  <c r="Q6"/>
  <c r="P6"/>
  <c r="O6"/>
  <c r="N6"/>
  <c r="M6"/>
  <c r="L6"/>
  <c r="K6"/>
  <c r="J6"/>
  <c r="I6"/>
  <c r="H6"/>
  <c r="E6"/>
  <c r="D6"/>
  <c r="C5"/>
  <c r="AG72" i="33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AG71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AF68"/>
  <c r="AE68"/>
  <c r="AD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E68"/>
  <c r="D68"/>
  <c r="AF67"/>
  <c r="AE67"/>
  <c r="AD67"/>
  <c r="AB67"/>
  <c r="AA67"/>
  <c r="Z67"/>
  <c r="N67"/>
  <c r="M67"/>
  <c r="L67"/>
  <c r="K67"/>
  <c r="I67"/>
  <c r="E67"/>
  <c r="D67"/>
  <c r="AF66"/>
  <c r="AE66"/>
  <c r="AD66"/>
  <c r="AB66"/>
  <c r="AA66"/>
  <c r="Z66"/>
  <c r="N66"/>
  <c r="M66"/>
  <c r="L66"/>
  <c r="K66"/>
  <c r="I66"/>
  <c r="E66"/>
  <c r="D66"/>
  <c r="AF65"/>
  <c r="AE65"/>
  <c r="AD65"/>
  <c r="AB65"/>
  <c r="AA65"/>
  <c r="Z65"/>
  <c r="N65"/>
  <c r="M65"/>
  <c r="L65"/>
  <c r="K65"/>
  <c r="I65"/>
  <c r="E65"/>
  <c r="D65"/>
  <c r="AF64"/>
  <c r="AE64"/>
  <c r="AD64"/>
  <c r="AB64"/>
  <c r="AA64"/>
  <c r="Z64"/>
  <c r="N64"/>
  <c r="M64"/>
  <c r="L64"/>
  <c r="K64"/>
  <c r="I64"/>
  <c r="E64"/>
  <c r="D64"/>
  <c r="AF63"/>
  <c r="AE63"/>
  <c r="AD63"/>
  <c r="AB63"/>
  <c r="AA63"/>
  <c r="Z63"/>
  <c r="N63"/>
  <c r="M63"/>
  <c r="L63"/>
  <c r="K63"/>
  <c r="I63"/>
  <c r="E63"/>
  <c r="D63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AF59"/>
  <c r="AE59"/>
  <c r="AD59"/>
  <c r="AB59"/>
  <c r="AA59"/>
  <c r="Z59"/>
  <c r="N59"/>
  <c r="M59"/>
  <c r="L59"/>
  <c r="K59"/>
  <c r="I59"/>
  <c r="E59"/>
  <c r="D59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AF55"/>
  <c r="AE55"/>
  <c r="AD55"/>
  <c r="AB55"/>
  <c r="AA55"/>
  <c r="Z55"/>
  <c r="N55"/>
  <c r="M55"/>
  <c r="L55"/>
  <c r="K55"/>
  <c r="I55"/>
  <c r="E55"/>
  <c r="D55"/>
  <c r="AF54"/>
  <c r="AE54"/>
  <c r="AD54"/>
  <c r="AB54"/>
  <c r="AA54"/>
  <c r="Z54"/>
  <c r="N54"/>
  <c r="M54"/>
  <c r="L54"/>
  <c r="K54"/>
  <c r="I54"/>
  <c r="E54"/>
  <c r="D54"/>
  <c r="AF53"/>
  <c r="AE53"/>
  <c r="AD53"/>
  <c r="AB53"/>
  <c r="AA53"/>
  <c r="Z53"/>
  <c r="N53"/>
  <c r="M53"/>
  <c r="L53"/>
  <c r="K53"/>
  <c r="I53"/>
  <c r="E53"/>
  <c r="D53"/>
  <c r="AF52"/>
  <c r="AE52"/>
  <c r="AD52"/>
  <c r="AB52"/>
  <c r="AA52"/>
  <c r="Z52"/>
  <c r="N52"/>
  <c r="M52"/>
  <c r="L52"/>
  <c r="K52"/>
  <c r="I52"/>
  <c r="E52"/>
  <c r="D52"/>
  <c r="AF51"/>
  <c r="AE51"/>
  <c r="AD51"/>
  <c r="AB51"/>
  <c r="AA51"/>
  <c r="Z51"/>
  <c r="N51"/>
  <c r="M51"/>
  <c r="L51"/>
  <c r="K51"/>
  <c r="I51"/>
  <c r="E51"/>
  <c r="D51"/>
  <c r="O49"/>
  <c r="P49" s="1"/>
  <c r="C47"/>
  <c r="C46"/>
  <c r="R44"/>
  <c r="Q44"/>
  <c r="W38" s="1"/>
  <c r="P44"/>
  <c r="O44"/>
  <c r="N44"/>
  <c r="M44"/>
  <c r="L44"/>
  <c r="K44"/>
  <c r="J44"/>
  <c r="H44"/>
  <c r="G44"/>
  <c r="F44"/>
  <c r="E44"/>
  <c r="R43"/>
  <c r="X39" s="1"/>
  <c r="Q43"/>
  <c r="P43"/>
  <c r="O43"/>
  <c r="N43"/>
  <c r="M43"/>
  <c r="L43"/>
  <c r="K43"/>
  <c r="J43"/>
  <c r="H43"/>
  <c r="G43"/>
  <c r="F43"/>
  <c r="E43"/>
  <c r="R42"/>
  <c r="X41" s="1"/>
  <c r="Q42"/>
  <c r="P42"/>
  <c r="O42"/>
  <c r="N42"/>
  <c r="M42"/>
  <c r="L42"/>
  <c r="K42"/>
  <c r="J42"/>
  <c r="H42"/>
  <c r="G42"/>
  <c r="F42"/>
  <c r="E42"/>
  <c r="W41"/>
  <c r="R41"/>
  <c r="X43" s="1"/>
  <c r="Q41"/>
  <c r="W43" s="1"/>
  <c r="P41"/>
  <c r="O41"/>
  <c r="N41"/>
  <c r="M41"/>
  <c r="L41"/>
  <c r="K41"/>
  <c r="J41"/>
  <c r="H41"/>
  <c r="G41"/>
  <c r="F41"/>
  <c r="E41"/>
  <c r="R40"/>
  <c r="X36" s="1"/>
  <c r="Q40"/>
  <c r="P40"/>
  <c r="O40"/>
  <c r="N40"/>
  <c r="M40"/>
  <c r="L40"/>
  <c r="K40"/>
  <c r="J40"/>
  <c r="H40"/>
  <c r="G40"/>
  <c r="F40"/>
  <c r="E40"/>
  <c r="W39"/>
  <c r="R39"/>
  <c r="X37" s="1"/>
  <c r="Q39"/>
  <c r="P39"/>
  <c r="O39"/>
  <c r="N39"/>
  <c r="M39"/>
  <c r="L39"/>
  <c r="K39"/>
  <c r="J39"/>
  <c r="H39"/>
  <c r="G39"/>
  <c r="F39"/>
  <c r="E39"/>
  <c r="X38"/>
  <c r="R38"/>
  <c r="X40" s="1"/>
  <c r="Q38"/>
  <c r="W40" s="1"/>
  <c r="P38"/>
  <c r="O38"/>
  <c r="N38"/>
  <c r="M38"/>
  <c r="L38"/>
  <c r="K38"/>
  <c r="J38"/>
  <c r="H38"/>
  <c r="G38"/>
  <c r="F38"/>
  <c r="E38"/>
  <c r="W37"/>
  <c r="R37"/>
  <c r="Q37"/>
  <c r="P37"/>
  <c r="O37"/>
  <c r="N37"/>
  <c r="M37"/>
  <c r="L37"/>
  <c r="K37"/>
  <c r="J37"/>
  <c r="H37"/>
  <c r="G37"/>
  <c r="F37"/>
  <c r="E37"/>
  <c r="W36"/>
  <c r="R36"/>
  <c r="X42" s="1"/>
  <c r="Q36"/>
  <c r="W42" s="1"/>
  <c r="P36"/>
  <c r="O36"/>
  <c r="N36"/>
  <c r="M36"/>
  <c r="L36"/>
  <c r="K36"/>
  <c r="J36"/>
  <c r="H36"/>
  <c r="G36"/>
  <c r="F36"/>
  <c r="E36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AY31"/>
  <c r="AX31"/>
  <c r="AW31"/>
  <c r="AV31"/>
  <c r="AU31"/>
  <c r="AJ31"/>
  <c r="AI31"/>
  <c r="AH31"/>
  <c r="AG31"/>
  <c r="AF31"/>
  <c r="AE31"/>
  <c r="AD31"/>
  <c r="T31"/>
  <c r="S31"/>
  <c r="R31"/>
  <c r="Q31"/>
  <c r="P31"/>
  <c r="O31"/>
  <c r="N31"/>
  <c r="M31"/>
  <c r="L31"/>
  <c r="K31"/>
  <c r="J31"/>
  <c r="I31"/>
  <c r="H31"/>
  <c r="G31"/>
  <c r="F31"/>
  <c r="E31"/>
  <c r="D31"/>
  <c r="AY30"/>
  <c r="AX30"/>
  <c r="AW30"/>
  <c r="AV30"/>
  <c r="AU30"/>
  <c r="AJ30"/>
  <c r="AI30"/>
  <c r="AH30"/>
  <c r="AG30"/>
  <c r="AF30"/>
  <c r="AE30"/>
  <c r="AD30"/>
  <c r="T30"/>
  <c r="S30"/>
  <c r="R30"/>
  <c r="Q30"/>
  <c r="P30"/>
  <c r="O30"/>
  <c r="N30"/>
  <c r="M30"/>
  <c r="L30"/>
  <c r="K30"/>
  <c r="J30"/>
  <c r="I30"/>
  <c r="H30"/>
  <c r="G30"/>
  <c r="F30"/>
  <c r="E30"/>
  <c r="D30"/>
  <c r="C29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Y23"/>
  <c r="AX23"/>
  <c r="AW23"/>
  <c r="AV23"/>
  <c r="AU23"/>
  <c r="AJ23"/>
  <c r="AI23"/>
  <c r="AH23"/>
  <c r="AG23"/>
  <c r="AF23"/>
  <c r="AE23"/>
  <c r="AD23"/>
  <c r="T23"/>
  <c r="S23"/>
  <c r="R23"/>
  <c r="Q23"/>
  <c r="G23" s="1"/>
  <c r="P23"/>
  <c r="O23"/>
  <c r="N23"/>
  <c r="M23"/>
  <c r="L23"/>
  <c r="K23"/>
  <c r="J23"/>
  <c r="I23"/>
  <c r="E23"/>
  <c r="D23"/>
  <c r="AY22"/>
  <c r="AX22"/>
  <c r="AW22"/>
  <c r="AV22"/>
  <c r="AU22"/>
  <c r="AJ22"/>
  <c r="AI22"/>
  <c r="AH22"/>
  <c r="AG22"/>
  <c r="AF22"/>
  <c r="AE22"/>
  <c r="AD22"/>
  <c r="T22"/>
  <c r="S22"/>
  <c r="R22"/>
  <c r="Q22"/>
  <c r="G22" s="1"/>
  <c r="P22"/>
  <c r="O22"/>
  <c r="N22"/>
  <c r="M22"/>
  <c r="L22"/>
  <c r="K22"/>
  <c r="J22"/>
  <c r="I22"/>
  <c r="E22"/>
  <c r="D22"/>
  <c r="AY21"/>
  <c r="AX21"/>
  <c r="AW21"/>
  <c r="AV21"/>
  <c r="AU21"/>
  <c r="AJ21"/>
  <c r="AI21"/>
  <c r="AH21"/>
  <c r="AG21"/>
  <c r="AF21"/>
  <c r="AE21"/>
  <c r="AD21"/>
  <c r="T21"/>
  <c r="S21"/>
  <c r="R21"/>
  <c r="Q21"/>
  <c r="G21" s="1"/>
  <c r="P21"/>
  <c r="O21"/>
  <c r="N21"/>
  <c r="M21"/>
  <c r="L21"/>
  <c r="K21"/>
  <c r="J21"/>
  <c r="I21"/>
  <c r="E21"/>
  <c r="D21"/>
  <c r="AY20"/>
  <c r="AX20"/>
  <c r="AW20"/>
  <c r="AV20"/>
  <c r="AU20"/>
  <c r="AJ20"/>
  <c r="AI20"/>
  <c r="AH20"/>
  <c r="AG20"/>
  <c r="AF20"/>
  <c r="AE20"/>
  <c r="AD20"/>
  <c r="T20"/>
  <c r="S20"/>
  <c r="R20"/>
  <c r="Q20"/>
  <c r="G20" s="1"/>
  <c r="P20"/>
  <c r="O20"/>
  <c r="N20"/>
  <c r="M20"/>
  <c r="L20"/>
  <c r="K20"/>
  <c r="J20"/>
  <c r="I20"/>
  <c r="E20"/>
  <c r="D20"/>
  <c r="C19"/>
  <c r="AZ17"/>
  <c r="AY17"/>
  <c r="AX17"/>
  <c r="AW17"/>
  <c r="AV17"/>
  <c r="AU17"/>
  <c r="AT17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AZ16"/>
  <c r="AY16"/>
  <c r="AX16"/>
  <c r="AW16"/>
  <c r="AV16"/>
  <c r="AU16"/>
  <c r="AT16"/>
  <c r="AS16"/>
  <c r="AR16"/>
  <c r="AQ16"/>
  <c r="AP16"/>
  <c r="AO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AZ15"/>
  <c r="AY15"/>
  <c r="AX15"/>
  <c r="AW15"/>
  <c r="AV15"/>
  <c r="AU15"/>
  <c r="AT15"/>
  <c r="AS15"/>
  <c r="AR15"/>
  <c r="AQ15"/>
  <c r="AP15"/>
  <c r="AO15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AZ13"/>
  <c r="AY13"/>
  <c r="AX13"/>
  <c r="AW13"/>
  <c r="AV13"/>
  <c r="AU13"/>
  <c r="AT13"/>
  <c r="AS13"/>
  <c r="AR13"/>
  <c r="AQ13"/>
  <c r="AP13"/>
  <c r="AO13"/>
  <c r="AN13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AY12"/>
  <c r="AX12"/>
  <c r="AW12"/>
  <c r="AV12"/>
  <c r="AU12"/>
  <c r="AJ12"/>
  <c r="AI12"/>
  <c r="AH12"/>
  <c r="AG12"/>
  <c r="AF12"/>
  <c r="AE12"/>
  <c r="AD12"/>
  <c r="T12"/>
  <c r="S12"/>
  <c r="R12"/>
  <c r="Q12"/>
  <c r="P12"/>
  <c r="O12"/>
  <c r="N12"/>
  <c r="M12"/>
  <c r="L12"/>
  <c r="K12"/>
  <c r="J12"/>
  <c r="I12"/>
  <c r="H12"/>
  <c r="E12"/>
  <c r="D12"/>
  <c r="AY11"/>
  <c r="AX11"/>
  <c r="AW11"/>
  <c r="AV11"/>
  <c r="AU11"/>
  <c r="AJ11"/>
  <c r="AI11"/>
  <c r="AH11"/>
  <c r="AG11"/>
  <c r="AF11"/>
  <c r="AE11"/>
  <c r="AD11"/>
  <c r="T11"/>
  <c r="S11"/>
  <c r="R11"/>
  <c r="Q11"/>
  <c r="P11"/>
  <c r="O11"/>
  <c r="N11"/>
  <c r="M11"/>
  <c r="L11"/>
  <c r="K11"/>
  <c r="J11"/>
  <c r="I11"/>
  <c r="H11"/>
  <c r="E11"/>
  <c r="D11"/>
  <c r="AY10"/>
  <c r="AX10"/>
  <c r="AW10"/>
  <c r="AV10"/>
  <c r="AU10"/>
  <c r="AJ10"/>
  <c r="AI10"/>
  <c r="AH10"/>
  <c r="AG10"/>
  <c r="AF10"/>
  <c r="AE10"/>
  <c r="AD10"/>
  <c r="T10"/>
  <c r="S10"/>
  <c r="R10"/>
  <c r="Q10"/>
  <c r="P10"/>
  <c r="O10"/>
  <c r="N10"/>
  <c r="M10"/>
  <c r="L10"/>
  <c r="K10"/>
  <c r="J10"/>
  <c r="I10"/>
  <c r="H10"/>
  <c r="E10"/>
  <c r="D10"/>
  <c r="AY9"/>
  <c r="AX9"/>
  <c r="AW9"/>
  <c r="AV9"/>
  <c r="AU9"/>
  <c r="AJ9"/>
  <c r="AI9"/>
  <c r="AH9"/>
  <c r="AG9"/>
  <c r="AF9"/>
  <c r="AE9"/>
  <c r="AD9"/>
  <c r="T9"/>
  <c r="S9"/>
  <c r="R9"/>
  <c r="Q9"/>
  <c r="P9"/>
  <c r="O9"/>
  <c r="N9"/>
  <c r="M9"/>
  <c r="L9"/>
  <c r="K9"/>
  <c r="J9"/>
  <c r="I9"/>
  <c r="H9"/>
  <c r="E9"/>
  <c r="D9"/>
  <c r="AY8"/>
  <c r="AX8"/>
  <c r="AW8"/>
  <c r="AV8"/>
  <c r="AU8"/>
  <c r="AJ8"/>
  <c r="AI8"/>
  <c r="AH8"/>
  <c r="AG8"/>
  <c r="AF8"/>
  <c r="AE8"/>
  <c r="AD8"/>
  <c r="T8"/>
  <c r="S8"/>
  <c r="R8"/>
  <c r="Q8"/>
  <c r="P8"/>
  <c r="O8"/>
  <c r="N8"/>
  <c r="M8"/>
  <c r="L8"/>
  <c r="K8"/>
  <c r="J8"/>
  <c r="I8"/>
  <c r="H8"/>
  <c r="E8"/>
  <c r="D8"/>
  <c r="AY7"/>
  <c r="AX7"/>
  <c r="AW7"/>
  <c r="AV7"/>
  <c r="AU7"/>
  <c r="AJ7"/>
  <c r="AI7"/>
  <c r="AH7"/>
  <c r="AG7"/>
  <c r="AF7"/>
  <c r="AE7"/>
  <c r="AD7"/>
  <c r="T7"/>
  <c r="S7"/>
  <c r="R7"/>
  <c r="Q7"/>
  <c r="P7"/>
  <c r="O7"/>
  <c r="N7"/>
  <c r="M7"/>
  <c r="L7"/>
  <c r="K7"/>
  <c r="J7"/>
  <c r="I7"/>
  <c r="H7"/>
  <c r="E7"/>
  <c r="D7"/>
  <c r="AY6"/>
  <c r="AX6"/>
  <c r="AW6"/>
  <c r="AV6"/>
  <c r="AU6"/>
  <c r="AJ6"/>
  <c r="AI6"/>
  <c r="AH6"/>
  <c r="AG6"/>
  <c r="AF6"/>
  <c r="AE6"/>
  <c r="AD6"/>
  <c r="T6"/>
  <c r="S6"/>
  <c r="R6"/>
  <c r="Q6"/>
  <c r="P6"/>
  <c r="O6"/>
  <c r="N6"/>
  <c r="M6"/>
  <c r="L6"/>
  <c r="K6"/>
  <c r="J6"/>
  <c r="I6"/>
  <c r="H6"/>
  <c r="E6"/>
  <c r="D6"/>
  <c r="C5"/>
  <c r="AG72" i="3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AG71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AF70"/>
  <c r="AE70"/>
  <c r="AD70"/>
  <c r="AB70"/>
  <c r="AA70"/>
  <c r="Z70"/>
  <c r="N70"/>
  <c r="M70"/>
  <c r="L70"/>
  <c r="K70"/>
  <c r="I70"/>
  <c r="E70"/>
  <c r="D70"/>
  <c r="AF69"/>
  <c r="AE69"/>
  <c r="AD69"/>
  <c r="AB69"/>
  <c r="AA69"/>
  <c r="Z69"/>
  <c r="N69"/>
  <c r="M69"/>
  <c r="L69"/>
  <c r="K69"/>
  <c r="I69"/>
  <c r="E69"/>
  <c r="D69"/>
  <c r="AF68"/>
  <c r="AE68"/>
  <c r="AD68"/>
  <c r="AB68"/>
  <c r="AA68"/>
  <c r="Z68"/>
  <c r="N68"/>
  <c r="M68"/>
  <c r="L68"/>
  <c r="K68"/>
  <c r="I68"/>
  <c r="E68"/>
  <c r="D68"/>
  <c r="AF67"/>
  <c r="AE67"/>
  <c r="AD67"/>
  <c r="AB67"/>
  <c r="AA67"/>
  <c r="Z67"/>
  <c r="N67"/>
  <c r="M67"/>
  <c r="L67"/>
  <c r="K67"/>
  <c r="I67"/>
  <c r="E67"/>
  <c r="D67"/>
  <c r="AF66"/>
  <c r="AE66"/>
  <c r="AD66"/>
  <c r="AB66"/>
  <c r="AA66"/>
  <c r="Z66"/>
  <c r="N66"/>
  <c r="M66"/>
  <c r="L66"/>
  <c r="K66"/>
  <c r="I66"/>
  <c r="E66"/>
  <c r="D66"/>
  <c r="AF65"/>
  <c r="AE65"/>
  <c r="AD65"/>
  <c r="AB65"/>
  <c r="AA65"/>
  <c r="Z65"/>
  <c r="N65"/>
  <c r="M65"/>
  <c r="L65"/>
  <c r="K65"/>
  <c r="I65"/>
  <c r="E65"/>
  <c r="D65"/>
  <c r="AF64"/>
  <c r="AE64"/>
  <c r="AD64"/>
  <c r="AB64"/>
  <c r="AA64"/>
  <c r="Z64"/>
  <c r="N64"/>
  <c r="M64"/>
  <c r="L64"/>
  <c r="K64"/>
  <c r="I64"/>
  <c r="E64"/>
  <c r="D64"/>
  <c r="AF63"/>
  <c r="AE63"/>
  <c r="AD63"/>
  <c r="AB63"/>
  <c r="AA63"/>
  <c r="Z63"/>
  <c r="N63"/>
  <c r="M63"/>
  <c r="L63"/>
  <c r="K63"/>
  <c r="I63"/>
  <c r="E63"/>
  <c r="D63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AF59"/>
  <c r="AE59"/>
  <c r="AD59"/>
  <c r="AB59"/>
  <c r="AA59"/>
  <c r="Z59"/>
  <c r="N59"/>
  <c r="M59"/>
  <c r="L59"/>
  <c r="K59"/>
  <c r="I59"/>
  <c r="E59"/>
  <c r="D59"/>
  <c r="AF56"/>
  <c r="AE56"/>
  <c r="AD56"/>
  <c r="AB56"/>
  <c r="AA56"/>
  <c r="Z56"/>
  <c r="N56"/>
  <c r="M56"/>
  <c r="L56"/>
  <c r="K56"/>
  <c r="I56"/>
  <c r="E56"/>
  <c r="D56"/>
  <c r="AF55"/>
  <c r="AE55"/>
  <c r="AD55"/>
  <c r="AB55"/>
  <c r="AA55"/>
  <c r="Z55"/>
  <c r="N55"/>
  <c r="M55"/>
  <c r="L55"/>
  <c r="K55"/>
  <c r="I55"/>
  <c r="E55"/>
  <c r="D55"/>
  <c r="AF54"/>
  <c r="AE54"/>
  <c r="AD54"/>
  <c r="AB54"/>
  <c r="AA54"/>
  <c r="Z54"/>
  <c r="N54"/>
  <c r="M54"/>
  <c r="L54"/>
  <c r="K54"/>
  <c r="I54"/>
  <c r="E54"/>
  <c r="D54"/>
  <c r="AF53"/>
  <c r="AE53"/>
  <c r="AD53"/>
  <c r="AB53"/>
  <c r="AA53"/>
  <c r="Z53"/>
  <c r="N53"/>
  <c r="M53"/>
  <c r="L53"/>
  <c r="K53"/>
  <c r="I53"/>
  <c r="E53"/>
  <c r="D53"/>
  <c r="AF52"/>
  <c r="AE52"/>
  <c r="AD52"/>
  <c r="AB52"/>
  <c r="AA52"/>
  <c r="Z52"/>
  <c r="N52"/>
  <c r="M52"/>
  <c r="L52"/>
  <c r="K52"/>
  <c r="I52"/>
  <c r="E52"/>
  <c r="D52"/>
  <c r="AF51"/>
  <c r="AE51"/>
  <c r="AD51"/>
  <c r="AB51"/>
  <c r="AA51"/>
  <c r="Z51"/>
  <c r="N51"/>
  <c r="M51"/>
  <c r="L51"/>
  <c r="K51"/>
  <c r="I51"/>
  <c r="E51"/>
  <c r="D51"/>
  <c r="O49"/>
  <c r="P49" s="1"/>
  <c r="C47"/>
  <c r="C46"/>
  <c r="R44"/>
  <c r="X38" s="1"/>
  <c r="Q44"/>
  <c r="W38" s="1"/>
  <c r="P44"/>
  <c r="O44"/>
  <c r="N44"/>
  <c r="M44"/>
  <c r="L44"/>
  <c r="K44"/>
  <c r="J44"/>
  <c r="H44"/>
  <c r="G44"/>
  <c r="F44"/>
  <c r="E44"/>
  <c r="R43"/>
  <c r="X39" s="1"/>
  <c r="Q43"/>
  <c r="W39" s="1"/>
  <c r="P43"/>
  <c r="O43"/>
  <c r="N43"/>
  <c r="M43"/>
  <c r="L43"/>
  <c r="K43"/>
  <c r="J43"/>
  <c r="H43"/>
  <c r="G43"/>
  <c r="F43"/>
  <c r="E43"/>
  <c r="R42"/>
  <c r="X41" s="1"/>
  <c r="Q42"/>
  <c r="P42"/>
  <c r="O42"/>
  <c r="N42"/>
  <c r="M42"/>
  <c r="L42"/>
  <c r="K42"/>
  <c r="J42"/>
  <c r="H42"/>
  <c r="G42"/>
  <c r="F42"/>
  <c r="E42"/>
  <c r="W41"/>
  <c r="R41"/>
  <c r="X43" s="1"/>
  <c r="Q41"/>
  <c r="W43" s="1"/>
  <c r="P41"/>
  <c r="O41"/>
  <c r="N41"/>
  <c r="M41"/>
  <c r="L41"/>
  <c r="K41"/>
  <c r="J41"/>
  <c r="H41"/>
  <c r="G41"/>
  <c r="F41"/>
  <c r="E41"/>
  <c r="R40"/>
  <c r="X36" s="1"/>
  <c r="Q40"/>
  <c r="W36" s="1"/>
  <c r="P40"/>
  <c r="O40"/>
  <c r="N40"/>
  <c r="M40"/>
  <c r="L40"/>
  <c r="K40"/>
  <c r="J40"/>
  <c r="H40"/>
  <c r="G40"/>
  <c r="F40"/>
  <c r="E40"/>
  <c r="R39"/>
  <c r="X37" s="1"/>
  <c r="Q39"/>
  <c r="W37" s="1"/>
  <c r="P39"/>
  <c r="O39"/>
  <c r="N39"/>
  <c r="M39"/>
  <c r="L39"/>
  <c r="K39"/>
  <c r="J39"/>
  <c r="H39"/>
  <c r="G39"/>
  <c r="F39"/>
  <c r="E39"/>
  <c r="R38"/>
  <c r="X40" s="1"/>
  <c r="Q38"/>
  <c r="W40" s="1"/>
  <c r="P38"/>
  <c r="O38"/>
  <c r="N38"/>
  <c r="M38"/>
  <c r="L38"/>
  <c r="K38"/>
  <c r="J38"/>
  <c r="H38"/>
  <c r="G38"/>
  <c r="F38"/>
  <c r="E38"/>
  <c r="R37"/>
  <c r="Q37"/>
  <c r="P37"/>
  <c r="O37"/>
  <c r="N37"/>
  <c r="M37"/>
  <c r="L37"/>
  <c r="K37"/>
  <c r="J37"/>
  <c r="H37"/>
  <c r="G37"/>
  <c r="F37"/>
  <c r="E37"/>
  <c r="R36"/>
  <c r="X42" s="1"/>
  <c r="Q36"/>
  <c r="W42" s="1"/>
  <c r="P36"/>
  <c r="O36"/>
  <c r="N36"/>
  <c r="M36"/>
  <c r="L36"/>
  <c r="K36"/>
  <c r="J36"/>
  <c r="H36"/>
  <c r="G36"/>
  <c r="F36"/>
  <c r="E36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Y32"/>
  <c r="AX32"/>
  <c r="AW32"/>
  <c r="AV32"/>
  <c r="AU32"/>
  <c r="AT32" s="1"/>
  <c r="AR32"/>
  <c r="AN32"/>
  <c r="AJ32"/>
  <c r="AI32"/>
  <c r="AH32"/>
  <c r="AG32"/>
  <c r="AF32"/>
  <c r="AE32"/>
  <c r="AD32"/>
  <c r="AK32" s="1"/>
  <c r="Z32"/>
  <c r="X32"/>
  <c r="V32"/>
  <c r="T32"/>
  <c r="S32"/>
  <c r="R32"/>
  <c r="Q32"/>
  <c r="P32"/>
  <c r="O32"/>
  <c r="N32"/>
  <c r="M32"/>
  <c r="L32"/>
  <c r="K32"/>
  <c r="J32"/>
  <c r="I32"/>
  <c r="H32"/>
  <c r="G32"/>
  <c r="F32"/>
  <c r="E32"/>
  <c r="D32"/>
  <c r="AY31"/>
  <c r="AX31"/>
  <c r="AW31"/>
  <c r="AV31"/>
  <c r="AU31"/>
  <c r="AJ31"/>
  <c r="AI31"/>
  <c r="AH31"/>
  <c r="AG31"/>
  <c r="AF31"/>
  <c r="AE31"/>
  <c r="AD31"/>
  <c r="T31"/>
  <c r="S31"/>
  <c r="R31"/>
  <c r="Q31"/>
  <c r="P31"/>
  <c r="O31"/>
  <c r="N31"/>
  <c r="M31"/>
  <c r="L31"/>
  <c r="K31"/>
  <c r="J31"/>
  <c r="I31"/>
  <c r="H31"/>
  <c r="G31"/>
  <c r="F31"/>
  <c r="E31"/>
  <c r="D31"/>
  <c r="AY30"/>
  <c r="AX30"/>
  <c r="AW30"/>
  <c r="AV30"/>
  <c r="AU30"/>
  <c r="AJ30"/>
  <c r="AI30"/>
  <c r="AH30"/>
  <c r="AG30"/>
  <c r="AF30"/>
  <c r="AE30"/>
  <c r="AD30"/>
  <c r="T30"/>
  <c r="S30"/>
  <c r="R30"/>
  <c r="Q30"/>
  <c r="P30"/>
  <c r="O30"/>
  <c r="N30"/>
  <c r="M30"/>
  <c r="L30"/>
  <c r="K30"/>
  <c r="J30"/>
  <c r="F30" s="1"/>
  <c r="I30"/>
  <c r="H30"/>
  <c r="G30"/>
  <c r="E30"/>
  <c r="D30"/>
  <c r="C29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AY26"/>
  <c r="AX26"/>
  <c r="AW26"/>
  <c r="AV26"/>
  <c r="AU26"/>
  <c r="AT26" s="1"/>
  <c r="AR26"/>
  <c r="AN26"/>
  <c r="AJ26"/>
  <c r="AI26"/>
  <c r="AH26"/>
  <c r="AG26"/>
  <c r="AF26"/>
  <c r="AE26"/>
  <c r="AD26"/>
  <c r="AK26" s="1"/>
  <c r="Z26"/>
  <c r="V26"/>
  <c r="T26"/>
  <c r="S26"/>
  <c r="R26"/>
  <c r="Q26"/>
  <c r="P26"/>
  <c r="O26"/>
  <c r="N26"/>
  <c r="M26"/>
  <c r="L26"/>
  <c r="K26"/>
  <c r="J26"/>
  <c r="I26"/>
  <c r="H26"/>
  <c r="G26"/>
  <c r="F26"/>
  <c r="E26"/>
  <c r="D26"/>
  <c r="AY25"/>
  <c r="AX25"/>
  <c r="AW25"/>
  <c r="AV25"/>
  <c r="AU25"/>
  <c r="AZ25" s="1"/>
  <c r="AQ25"/>
  <c r="AM25"/>
  <c r="AJ25"/>
  <c r="AI25"/>
  <c r="AH25"/>
  <c r="AG25"/>
  <c r="AF25"/>
  <c r="AE25"/>
  <c r="AB25" s="1"/>
  <c r="AD25"/>
  <c r="AC25"/>
  <c r="AA25"/>
  <c r="Y25"/>
  <c r="W25"/>
  <c r="U25"/>
  <c r="T25"/>
  <c r="S25"/>
  <c r="R25"/>
  <c r="Q25"/>
  <c r="P25"/>
  <c r="O25"/>
  <c r="N25"/>
  <c r="M25"/>
  <c r="L25"/>
  <c r="K25"/>
  <c r="H25" s="1"/>
  <c r="J25"/>
  <c r="I25"/>
  <c r="G25"/>
  <c r="E25"/>
  <c r="D25"/>
  <c r="AY24"/>
  <c r="AX24"/>
  <c r="AW24"/>
  <c r="AV24"/>
  <c r="AU24"/>
  <c r="AT24" s="1"/>
  <c r="AN24"/>
  <c r="AJ24"/>
  <c r="AI24"/>
  <c r="AH24"/>
  <c r="AG24"/>
  <c r="AF24"/>
  <c r="AE24"/>
  <c r="AD24"/>
  <c r="Z24"/>
  <c r="V24"/>
  <c r="T24"/>
  <c r="S24"/>
  <c r="R24"/>
  <c r="Q24"/>
  <c r="P24"/>
  <c r="O24"/>
  <c r="N24"/>
  <c r="M24"/>
  <c r="L24"/>
  <c r="K24"/>
  <c r="J24"/>
  <c r="I24"/>
  <c r="H24"/>
  <c r="G24"/>
  <c r="F24"/>
  <c r="E24"/>
  <c r="D24"/>
  <c r="AY23"/>
  <c r="AX23"/>
  <c r="AW23"/>
  <c r="AV23"/>
  <c r="AU23"/>
  <c r="AJ23"/>
  <c r="AI23"/>
  <c r="AH23"/>
  <c r="AG23"/>
  <c r="AF23"/>
  <c r="AE23"/>
  <c r="AD23"/>
  <c r="T23"/>
  <c r="S23"/>
  <c r="R23"/>
  <c r="Q23"/>
  <c r="G23" s="1"/>
  <c r="P23"/>
  <c r="O23"/>
  <c r="N23"/>
  <c r="M23"/>
  <c r="L23"/>
  <c r="K23"/>
  <c r="J23"/>
  <c r="I23"/>
  <c r="E23"/>
  <c r="D23"/>
  <c r="AY22"/>
  <c r="AX22"/>
  <c r="AW22"/>
  <c r="AV22"/>
  <c r="AU22"/>
  <c r="AJ22"/>
  <c r="AI22"/>
  <c r="AH22"/>
  <c r="AG22"/>
  <c r="AF22"/>
  <c r="AE22"/>
  <c r="AD22"/>
  <c r="T22"/>
  <c r="S22"/>
  <c r="R22"/>
  <c r="Q22"/>
  <c r="G22" s="1"/>
  <c r="P22"/>
  <c r="O22"/>
  <c r="N22"/>
  <c r="M22"/>
  <c r="L22"/>
  <c r="K22"/>
  <c r="J22"/>
  <c r="I22"/>
  <c r="E22"/>
  <c r="D22"/>
  <c r="AY21"/>
  <c r="AX21"/>
  <c r="AW21"/>
  <c r="AV21"/>
  <c r="AU21"/>
  <c r="AJ21"/>
  <c r="AI21"/>
  <c r="AH21"/>
  <c r="AG21"/>
  <c r="AF21"/>
  <c r="AE21"/>
  <c r="AD21"/>
  <c r="T21"/>
  <c r="S21"/>
  <c r="R21"/>
  <c r="Q21"/>
  <c r="G21" s="1"/>
  <c r="P21"/>
  <c r="O21"/>
  <c r="N21"/>
  <c r="M21"/>
  <c r="L21"/>
  <c r="K21"/>
  <c r="J21"/>
  <c r="I21"/>
  <c r="E21"/>
  <c r="D21"/>
  <c r="AY20"/>
  <c r="AX20"/>
  <c r="AW20"/>
  <c r="AV20"/>
  <c r="AU20"/>
  <c r="AJ20"/>
  <c r="AI20"/>
  <c r="AH20"/>
  <c r="AG20"/>
  <c r="AF20"/>
  <c r="AE20"/>
  <c r="AD20"/>
  <c r="T20"/>
  <c r="S20"/>
  <c r="R20"/>
  <c r="Q20"/>
  <c r="G20" s="1"/>
  <c r="P20"/>
  <c r="O20"/>
  <c r="N20"/>
  <c r="M20"/>
  <c r="L20"/>
  <c r="K20"/>
  <c r="J20"/>
  <c r="I20"/>
  <c r="E20"/>
  <c r="D20"/>
  <c r="C19"/>
  <c r="AZ17"/>
  <c r="AY17"/>
  <c r="AX17"/>
  <c r="AW17"/>
  <c r="AV17"/>
  <c r="AU17"/>
  <c r="AT17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AY16"/>
  <c r="AX16"/>
  <c r="AW16"/>
  <c r="AV16"/>
  <c r="AU16"/>
  <c r="AT16" s="1"/>
  <c r="AR16"/>
  <c r="AN16"/>
  <c r="AJ16"/>
  <c r="AI16"/>
  <c r="AH16"/>
  <c r="AG16"/>
  <c r="AF16"/>
  <c r="AE16"/>
  <c r="AD16"/>
  <c r="AK16" s="1"/>
  <c r="Z16"/>
  <c r="V16"/>
  <c r="T16"/>
  <c r="S16"/>
  <c r="R16"/>
  <c r="Q16"/>
  <c r="P16"/>
  <c r="O16"/>
  <c r="N16"/>
  <c r="M16"/>
  <c r="L16"/>
  <c r="K16"/>
  <c r="J16"/>
  <c r="I16"/>
  <c r="H16"/>
  <c r="F16"/>
  <c r="E16"/>
  <c r="D16"/>
  <c r="AY15"/>
  <c r="AX15"/>
  <c r="AW15"/>
  <c r="AV15"/>
  <c r="AU15"/>
  <c r="AZ15" s="1"/>
  <c r="AQ15"/>
  <c r="AM15"/>
  <c r="AJ15"/>
  <c r="AI15"/>
  <c r="AH15"/>
  <c r="AG15"/>
  <c r="AF15"/>
  <c r="AE15"/>
  <c r="AB15" s="1"/>
  <c r="AD15"/>
  <c r="AC15"/>
  <c r="AA15"/>
  <c r="Y15"/>
  <c r="W15"/>
  <c r="U15"/>
  <c r="T15"/>
  <c r="S15"/>
  <c r="R15"/>
  <c r="Q15"/>
  <c r="P15"/>
  <c r="O15"/>
  <c r="N15"/>
  <c r="M15"/>
  <c r="F15" s="1"/>
  <c r="L15"/>
  <c r="K15"/>
  <c r="J15"/>
  <c r="I15"/>
  <c r="H15"/>
  <c r="G15"/>
  <c r="E15"/>
  <c r="D15"/>
  <c r="AY14"/>
  <c r="AX14"/>
  <c r="AW14"/>
  <c r="AV14"/>
  <c r="AU14"/>
  <c r="AT14" s="1"/>
  <c r="AR14"/>
  <c r="AN14"/>
  <c r="AJ14"/>
  <c r="AI14"/>
  <c r="AH14"/>
  <c r="AG14"/>
  <c r="AF14"/>
  <c r="AE14"/>
  <c r="AD14"/>
  <c r="Z14" s="1"/>
  <c r="V14"/>
  <c r="T14"/>
  <c r="S14"/>
  <c r="R14"/>
  <c r="Q14"/>
  <c r="P14"/>
  <c r="O14"/>
  <c r="N14"/>
  <c r="M14"/>
  <c r="L14"/>
  <c r="K14"/>
  <c r="J14"/>
  <c r="I14"/>
  <c r="H14"/>
  <c r="F14"/>
  <c r="E14"/>
  <c r="D14"/>
  <c r="AY13"/>
  <c r="AX13"/>
  <c r="AW13"/>
  <c r="AV13"/>
  <c r="AU13"/>
  <c r="AS13" s="1"/>
  <c r="AM13"/>
  <c r="AJ13"/>
  <c r="AI13"/>
  <c r="AH13"/>
  <c r="AG13"/>
  <c r="AF13"/>
  <c r="AE13"/>
  <c r="AB13" s="1"/>
  <c r="AD13"/>
  <c r="AC13"/>
  <c r="Y13"/>
  <c r="U13"/>
  <c r="T13"/>
  <c r="S13"/>
  <c r="R13"/>
  <c r="Q13"/>
  <c r="P13"/>
  <c r="O13"/>
  <c r="N13"/>
  <c r="M13"/>
  <c r="F13" s="1"/>
  <c r="L13"/>
  <c r="K13"/>
  <c r="J13"/>
  <c r="I13"/>
  <c r="H13"/>
  <c r="G13"/>
  <c r="E13"/>
  <c r="D13"/>
  <c r="AY12"/>
  <c r="AX12"/>
  <c r="AW12"/>
  <c r="AV12"/>
  <c r="AU12"/>
  <c r="AJ12"/>
  <c r="AI12"/>
  <c r="AH12"/>
  <c r="AG12"/>
  <c r="AF12"/>
  <c r="AE12"/>
  <c r="AD12"/>
  <c r="T12"/>
  <c r="S12"/>
  <c r="R12"/>
  <c r="Q12"/>
  <c r="P12"/>
  <c r="O12"/>
  <c r="N12"/>
  <c r="M12"/>
  <c r="L12"/>
  <c r="K12"/>
  <c r="J12"/>
  <c r="I12"/>
  <c r="H12"/>
  <c r="E12"/>
  <c r="D12"/>
  <c r="AY11"/>
  <c r="AX11"/>
  <c r="AW11"/>
  <c r="AV11"/>
  <c r="AU11"/>
  <c r="AJ11"/>
  <c r="AI11"/>
  <c r="AH11"/>
  <c r="AG11"/>
  <c r="AF11"/>
  <c r="AE11"/>
  <c r="AD11"/>
  <c r="T11"/>
  <c r="S11"/>
  <c r="R11"/>
  <c r="Q11"/>
  <c r="P11"/>
  <c r="O11"/>
  <c r="N11"/>
  <c r="M11"/>
  <c r="L11"/>
  <c r="K11"/>
  <c r="J11"/>
  <c r="I11"/>
  <c r="H11"/>
  <c r="E11"/>
  <c r="D11"/>
  <c r="AY10"/>
  <c r="AX10"/>
  <c r="AW10"/>
  <c r="AV10"/>
  <c r="AU10"/>
  <c r="AJ10"/>
  <c r="AI10"/>
  <c r="AH10"/>
  <c r="AG10"/>
  <c r="AF10"/>
  <c r="AE10"/>
  <c r="AD10"/>
  <c r="T10"/>
  <c r="S10"/>
  <c r="I10" s="1"/>
  <c r="R10"/>
  <c r="Q10"/>
  <c r="P10"/>
  <c r="O10"/>
  <c r="N10"/>
  <c r="M10"/>
  <c r="L10"/>
  <c r="H10" s="1"/>
  <c r="K10"/>
  <c r="J10"/>
  <c r="E10"/>
  <c r="D10"/>
  <c r="AY9"/>
  <c r="AX9"/>
  <c r="AW9"/>
  <c r="AV9"/>
  <c r="AU9"/>
  <c r="AJ9"/>
  <c r="AI9"/>
  <c r="AH9"/>
  <c r="AG9"/>
  <c r="AF9"/>
  <c r="AE9"/>
  <c r="AD9"/>
  <c r="T9"/>
  <c r="S9"/>
  <c r="R9"/>
  <c r="Q9"/>
  <c r="P9"/>
  <c r="O9"/>
  <c r="N9"/>
  <c r="M9"/>
  <c r="L9"/>
  <c r="K9"/>
  <c r="J9"/>
  <c r="I9"/>
  <c r="H9"/>
  <c r="E9"/>
  <c r="D9"/>
  <c r="AY8"/>
  <c r="AX8"/>
  <c r="AW8"/>
  <c r="AV8"/>
  <c r="AU8"/>
  <c r="AJ8"/>
  <c r="AI8"/>
  <c r="AH8"/>
  <c r="AG8"/>
  <c r="AF8"/>
  <c r="AE8"/>
  <c r="AD8"/>
  <c r="T8"/>
  <c r="S8"/>
  <c r="R8"/>
  <c r="Q8"/>
  <c r="P8"/>
  <c r="O8"/>
  <c r="N8"/>
  <c r="M8"/>
  <c r="L8"/>
  <c r="K8"/>
  <c r="J8"/>
  <c r="I8"/>
  <c r="H8"/>
  <c r="E8"/>
  <c r="D8"/>
  <c r="AY7"/>
  <c r="AX7"/>
  <c r="AW7"/>
  <c r="AV7"/>
  <c r="AU7"/>
  <c r="AJ7"/>
  <c r="AI7"/>
  <c r="AH7"/>
  <c r="AG7"/>
  <c r="AF7"/>
  <c r="AE7"/>
  <c r="AD7"/>
  <c r="T7"/>
  <c r="S7"/>
  <c r="R7"/>
  <c r="Q7"/>
  <c r="P7"/>
  <c r="O7"/>
  <c r="N7"/>
  <c r="M7"/>
  <c r="L7"/>
  <c r="K7"/>
  <c r="J7"/>
  <c r="I7"/>
  <c r="H7"/>
  <c r="E7"/>
  <c r="D7"/>
  <c r="AY6"/>
  <c r="AX6"/>
  <c r="AW6"/>
  <c r="AV6"/>
  <c r="AU6"/>
  <c r="AJ6"/>
  <c r="AI6"/>
  <c r="AH6"/>
  <c r="AG6"/>
  <c r="AF6"/>
  <c r="AE6"/>
  <c r="AD6"/>
  <c r="T6"/>
  <c r="S6"/>
  <c r="R6"/>
  <c r="Q6"/>
  <c r="P6"/>
  <c r="O6"/>
  <c r="N6"/>
  <c r="M6"/>
  <c r="L6"/>
  <c r="K6"/>
  <c r="J6"/>
  <c r="I6"/>
  <c r="H6"/>
  <c r="E6"/>
  <c r="D6"/>
  <c r="C5"/>
  <c r="H72" i="30"/>
  <c r="G72"/>
  <c r="F72"/>
  <c r="H60"/>
  <c r="G60"/>
  <c r="F60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I72"/>
  <c r="AF71"/>
  <c r="AE71"/>
  <c r="AD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I71"/>
  <c r="AF70"/>
  <c r="AE70"/>
  <c r="AD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I70"/>
  <c r="AF69"/>
  <c r="AE69"/>
  <c r="AD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I69"/>
  <c r="AF68"/>
  <c r="AE68"/>
  <c r="AD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I68"/>
  <c r="AF67"/>
  <c r="AE67"/>
  <c r="AD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I67"/>
  <c r="AF66"/>
  <c r="AE66"/>
  <c r="AD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I66"/>
  <c r="AF65"/>
  <c r="AE65"/>
  <c r="AD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I65"/>
  <c r="AF64"/>
  <c r="AE64"/>
  <c r="AD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I64"/>
  <c r="AF63"/>
  <c r="AE63"/>
  <c r="AD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I63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I60"/>
  <c r="AF59"/>
  <c r="AE59"/>
  <c r="AD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I59"/>
  <c r="AF56"/>
  <c r="AE56"/>
  <c r="AD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I56"/>
  <c r="AF55"/>
  <c r="AE55"/>
  <c r="AD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I55"/>
  <c r="AF54"/>
  <c r="AE54"/>
  <c r="AD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I54"/>
  <c r="AF53"/>
  <c r="AE53"/>
  <c r="AD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I53"/>
  <c r="AF52"/>
  <c r="AE52"/>
  <c r="AD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I52"/>
  <c r="AF51"/>
  <c r="AE51"/>
  <c r="AD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I51"/>
  <c r="AG70" i="9"/>
  <c r="AF70"/>
  <c r="AE70"/>
  <c r="AD70"/>
  <c r="AC70"/>
  <c r="AF69"/>
  <c r="AE69"/>
  <c r="AD69"/>
  <c r="AF68"/>
  <c r="AE68"/>
  <c r="AD68"/>
  <c r="AF67"/>
  <c r="AE67"/>
  <c r="AD67"/>
  <c r="AF66"/>
  <c r="AE66"/>
  <c r="AD66"/>
  <c r="AF65"/>
  <c r="AE65"/>
  <c r="AD65"/>
  <c r="AF62"/>
  <c r="AE62"/>
  <c r="AD62"/>
  <c r="AF61"/>
  <c r="AE61"/>
  <c r="AD61"/>
  <c r="AF58"/>
  <c r="AE58"/>
  <c r="AD58"/>
  <c r="AF57"/>
  <c r="AE57"/>
  <c r="AD57"/>
  <c r="AF56"/>
  <c r="AE56"/>
  <c r="AD56"/>
  <c r="AF55"/>
  <c r="AE55"/>
  <c r="AD55"/>
  <c r="AF54"/>
  <c r="AE54"/>
  <c r="AD54"/>
  <c r="AF53"/>
  <c r="AE53"/>
  <c r="AD53"/>
  <c r="AX15" i="6"/>
  <c r="AY16" i="30"/>
  <c r="AX16"/>
  <c r="AW16"/>
  <c r="AV16"/>
  <c r="AU16"/>
  <c r="AJ16"/>
  <c r="AI16"/>
  <c r="AH16"/>
  <c r="AG16"/>
  <c r="AF16"/>
  <c r="AE16"/>
  <c r="AD16"/>
  <c r="T16"/>
  <c r="S16"/>
  <c r="R16"/>
  <c r="Q16"/>
  <c r="P16"/>
  <c r="O16"/>
  <c r="N16"/>
  <c r="M16"/>
  <c r="L16"/>
  <c r="K16"/>
  <c r="J16"/>
  <c r="I16"/>
  <c r="H16"/>
  <c r="E16"/>
  <c r="D16"/>
  <c r="AY15"/>
  <c r="AX15"/>
  <c r="AW15"/>
  <c r="AV15"/>
  <c r="AU15"/>
  <c r="AJ15"/>
  <c r="AI15"/>
  <c r="AH15"/>
  <c r="AG15"/>
  <c r="AF15"/>
  <c r="AE15"/>
  <c r="AD15"/>
  <c r="T15"/>
  <c r="S15"/>
  <c r="R15"/>
  <c r="Q15"/>
  <c r="P15"/>
  <c r="O15"/>
  <c r="N15"/>
  <c r="M15"/>
  <c r="L15"/>
  <c r="K15"/>
  <c r="J15"/>
  <c r="I15"/>
  <c r="H15"/>
  <c r="E15"/>
  <c r="D15"/>
  <c r="AY24"/>
  <c r="AX24"/>
  <c r="AW24"/>
  <c r="AV24"/>
  <c r="AU24"/>
  <c r="AJ24"/>
  <c r="AI24"/>
  <c r="AH24"/>
  <c r="AG24"/>
  <c r="AF24"/>
  <c r="AE24"/>
  <c r="AD24"/>
  <c r="T24"/>
  <c r="S24"/>
  <c r="R24"/>
  <c r="Q24"/>
  <c r="G24" s="1"/>
  <c r="P24"/>
  <c r="O24"/>
  <c r="N24"/>
  <c r="M24"/>
  <c r="L24"/>
  <c r="K24"/>
  <c r="J24"/>
  <c r="I24"/>
  <c r="E24"/>
  <c r="D24"/>
  <c r="AY25"/>
  <c r="AX25"/>
  <c r="AW25"/>
  <c r="AV25"/>
  <c r="AU25"/>
  <c r="AJ25"/>
  <c r="AI25"/>
  <c r="AH25"/>
  <c r="AG25"/>
  <c r="AF25"/>
  <c r="AE25"/>
  <c r="AD25"/>
  <c r="T25"/>
  <c r="S25"/>
  <c r="R25"/>
  <c r="Q25"/>
  <c r="G25" s="1"/>
  <c r="P25"/>
  <c r="O25"/>
  <c r="N25"/>
  <c r="M25"/>
  <c r="L25"/>
  <c r="K25"/>
  <c r="J25"/>
  <c r="I25"/>
  <c r="E25"/>
  <c r="D25"/>
  <c r="AY32"/>
  <c r="AX32"/>
  <c r="AW32"/>
  <c r="AV32"/>
  <c r="AU32"/>
  <c r="AJ32"/>
  <c r="AI32"/>
  <c r="AH32"/>
  <c r="AG32"/>
  <c r="AF32"/>
  <c r="AE32"/>
  <c r="AD32"/>
  <c r="T32"/>
  <c r="S32"/>
  <c r="R32"/>
  <c r="Q32"/>
  <c r="P32"/>
  <c r="O32"/>
  <c r="N32"/>
  <c r="M32"/>
  <c r="L32"/>
  <c r="K32"/>
  <c r="J32"/>
  <c r="F32" s="1"/>
  <c r="I32"/>
  <c r="H32"/>
  <c r="G32"/>
  <c r="E32"/>
  <c r="D32"/>
  <c r="D13"/>
  <c r="E13"/>
  <c r="J13"/>
  <c r="K13"/>
  <c r="L13"/>
  <c r="H13" s="1"/>
  <c r="M13"/>
  <c r="N13"/>
  <c r="O13"/>
  <c r="P13"/>
  <c r="Q13"/>
  <c r="R13"/>
  <c r="S13"/>
  <c r="I13" s="1"/>
  <c r="T13"/>
  <c r="AD13"/>
  <c r="AE13"/>
  <c r="AF13"/>
  <c r="AG13"/>
  <c r="AH13"/>
  <c r="AI13"/>
  <c r="AJ13"/>
  <c r="AU13"/>
  <c r="AV13"/>
  <c r="AW13"/>
  <c r="AX13"/>
  <c r="AY13"/>
  <c r="C15" i="6"/>
  <c r="C52"/>
  <c r="C31"/>
  <c r="C65"/>
  <c r="C42"/>
  <c r="C53"/>
  <c r="C54"/>
  <c r="C55"/>
  <c r="AZ15"/>
  <c r="BA15" s="1"/>
  <c r="BD15"/>
  <c r="BE15"/>
  <c r="BF15"/>
  <c r="BG15"/>
  <c r="BH15"/>
  <c r="BI15"/>
  <c r="BJ15"/>
  <c r="BK15"/>
  <c r="BL15"/>
  <c r="BM15"/>
  <c r="AX52"/>
  <c r="AY52" s="1"/>
  <c r="AZ52"/>
  <c r="BA52" s="1"/>
  <c r="BD52"/>
  <c r="BE52"/>
  <c r="BF52"/>
  <c r="BG52"/>
  <c r="BH52"/>
  <c r="BI52"/>
  <c r="BJ52"/>
  <c r="BK52"/>
  <c r="BL52"/>
  <c r="BM52"/>
  <c r="AX31"/>
  <c r="AY31" s="1"/>
  <c r="AZ31"/>
  <c r="BA31" s="1"/>
  <c r="BD31"/>
  <c r="BE31"/>
  <c r="BF31"/>
  <c r="BG31"/>
  <c r="BH31"/>
  <c r="BI31"/>
  <c r="BJ31"/>
  <c r="BK31"/>
  <c r="BL31"/>
  <c r="BM31"/>
  <c r="AX65"/>
  <c r="AY65" s="1"/>
  <c r="AZ65"/>
  <c r="BA65" s="1"/>
  <c r="BD65"/>
  <c r="BE65"/>
  <c r="BF65"/>
  <c r="BG65"/>
  <c r="BH65"/>
  <c r="BI65"/>
  <c r="BJ65"/>
  <c r="BK65"/>
  <c r="BL65"/>
  <c r="BM65"/>
  <c r="AX42"/>
  <c r="AY42" s="1"/>
  <c r="AZ42"/>
  <c r="BA42" s="1"/>
  <c r="BD42"/>
  <c r="BE42"/>
  <c r="BF42"/>
  <c r="BG42"/>
  <c r="BH42"/>
  <c r="BI42"/>
  <c r="BJ42"/>
  <c r="BK42"/>
  <c r="BL42"/>
  <c r="BM42"/>
  <c r="AX53"/>
  <c r="AY53" s="1"/>
  <c r="AZ53"/>
  <c r="BA53" s="1"/>
  <c r="BD53"/>
  <c r="BE53"/>
  <c r="BF53"/>
  <c r="BG53"/>
  <c r="BH53"/>
  <c r="BI53"/>
  <c r="BJ53"/>
  <c r="BK53"/>
  <c r="BL53"/>
  <c r="BM53"/>
  <c r="AX54"/>
  <c r="AY54" s="1"/>
  <c r="AZ54"/>
  <c r="BA54" s="1"/>
  <c r="BD54"/>
  <c r="BE54"/>
  <c r="BF54"/>
  <c r="BG54"/>
  <c r="BH54"/>
  <c r="BI54"/>
  <c r="BJ54"/>
  <c r="BK54"/>
  <c r="BL54"/>
  <c r="BM54"/>
  <c r="AX55"/>
  <c r="AY55" s="1"/>
  <c r="AZ55"/>
  <c r="BA55" s="1"/>
  <c r="BD55"/>
  <c r="BE55"/>
  <c r="BF55"/>
  <c r="BG55"/>
  <c r="BH55"/>
  <c r="BI55"/>
  <c r="BJ55"/>
  <c r="BK55"/>
  <c r="BL55"/>
  <c r="BM55"/>
  <c r="E72" i="5"/>
  <c r="E74"/>
  <c r="E73"/>
  <c r="E23"/>
  <c r="E12"/>
  <c r="E37"/>
  <c r="E34"/>
  <c r="E47"/>
  <c r="E51"/>
  <c r="AQ47"/>
  <c r="AR47" s="1"/>
  <c r="AS47"/>
  <c r="AT47" s="1"/>
  <c r="AW47"/>
  <c r="AX47"/>
  <c r="AY47"/>
  <c r="AZ47"/>
  <c r="BA47"/>
  <c r="BB47"/>
  <c r="BC47"/>
  <c r="BD47"/>
  <c r="BE47"/>
  <c r="BF47"/>
  <c r="BG47"/>
  <c r="BH47"/>
  <c r="BI47"/>
  <c r="BJ47"/>
  <c r="BK47"/>
  <c r="BL47"/>
  <c r="BM47"/>
  <c r="BN47"/>
  <c r="BO47"/>
  <c r="BP47"/>
  <c r="BQ47"/>
  <c r="BS47"/>
  <c r="BT47"/>
  <c r="BU47"/>
  <c r="BV47"/>
  <c r="BW47"/>
  <c r="BX47"/>
  <c r="BY47"/>
  <c r="BZ47"/>
  <c r="CB47"/>
  <c r="CC47"/>
  <c r="CD47"/>
  <c r="CE47"/>
  <c r="AQ51"/>
  <c r="AR51" s="1"/>
  <c r="AS51"/>
  <c r="AT51" s="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S51"/>
  <c r="BT51"/>
  <c r="BU51"/>
  <c r="BV51"/>
  <c r="BW51"/>
  <c r="BX51"/>
  <c r="BY51"/>
  <c r="BZ51"/>
  <c r="CB51"/>
  <c r="CC51"/>
  <c r="CD51"/>
  <c r="CE51"/>
  <c r="H69" i="35" l="1"/>
  <c r="H68"/>
  <c r="CN71" i="5"/>
  <c r="AM3" i="35"/>
  <c r="G69"/>
  <c r="AM9"/>
  <c r="H14"/>
  <c r="F21"/>
  <c r="F14"/>
  <c r="AC9"/>
  <c r="H67"/>
  <c r="CN11" i="5"/>
  <c r="CN18"/>
  <c r="CN29"/>
  <c r="CN22"/>
  <c r="CN44"/>
  <c r="CN36"/>
  <c r="CN48"/>
  <c r="CN27"/>
  <c r="CN25"/>
  <c r="CN64"/>
  <c r="CN62"/>
  <c r="AR4" i="35"/>
  <c r="AC5"/>
  <c r="AN6"/>
  <c r="AC7"/>
  <c r="F8"/>
  <c r="AT8"/>
  <c r="AB9"/>
  <c r="AT14"/>
  <c r="AQ15"/>
  <c r="AR16"/>
  <c r="Z22"/>
  <c r="AB3"/>
  <c r="G65"/>
  <c r="F69"/>
  <c r="AA9"/>
  <c r="G62"/>
  <c r="G61"/>
  <c r="G54"/>
  <c r="G56"/>
  <c r="G53"/>
  <c r="G55"/>
  <c r="G57"/>
  <c r="H53"/>
  <c r="H54"/>
  <c r="H55"/>
  <c r="H56"/>
  <c r="H57"/>
  <c r="H61"/>
  <c r="H62"/>
  <c r="H65"/>
  <c r="Z3"/>
  <c r="CM9" i="5"/>
  <c r="V22" i="35"/>
  <c r="AN16"/>
  <c r="Z16"/>
  <c r="AP8"/>
  <c r="G6" i="34"/>
  <c r="G3" i="35"/>
  <c r="AB4"/>
  <c r="X4"/>
  <c r="AB6"/>
  <c r="Z8"/>
  <c r="AB14"/>
  <c r="F34" s="1"/>
  <c r="AC15"/>
  <c r="F46" s="1"/>
  <c r="Y15"/>
  <c r="F3"/>
  <c r="U3"/>
  <c r="AZ3"/>
  <c r="AN4"/>
  <c r="G5"/>
  <c r="AQ5"/>
  <c r="Z6"/>
  <c r="G7"/>
  <c r="AM7"/>
  <c r="V8"/>
  <c r="G9"/>
  <c r="Z14"/>
  <c r="AN14"/>
  <c r="AM15"/>
  <c r="X22"/>
  <c r="Y5"/>
  <c r="V16"/>
  <c r="F28" s="1"/>
  <c r="AT16"/>
  <c r="AP16"/>
  <c r="AN22"/>
  <c r="AO3"/>
  <c r="AP14"/>
  <c r="W6" i="34"/>
  <c r="CH9" i="5"/>
  <c r="Y3" i="35"/>
  <c r="AQ3"/>
  <c r="G4"/>
  <c r="Z4"/>
  <c r="F32" s="1"/>
  <c r="AT4"/>
  <c r="AP4"/>
  <c r="AM5"/>
  <c r="G6"/>
  <c r="AT6"/>
  <c r="AB7"/>
  <c r="Z7"/>
  <c r="AK8"/>
  <c r="X8"/>
  <c r="AL8"/>
  <c r="AS8"/>
  <c r="AR8"/>
  <c r="F9"/>
  <c r="U9"/>
  <c r="AZ9"/>
  <c r="X14"/>
  <c r="AR14"/>
  <c r="H15"/>
  <c r="G13"/>
  <c r="U15"/>
  <c r="AB15"/>
  <c r="AA15"/>
  <c r="AZ15"/>
  <c r="AO15"/>
  <c r="H16"/>
  <c r="F16"/>
  <c r="AK16"/>
  <c r="H28" s="1"/>
  <c r="X16"/>
  <c r="AL16"/>
  <c r="AS16"/>
  <c r="AT22"/>
  <c r="CN19" i="5"/>
  <c r="W3" i="35"/>
  <c r="AA3"/>
  <c r="F33" s="1"/>
  <c r="AS3"/>
  <c r="F4"/>
  <c r="V4"/>
  <c r="AK4"/>
  <c r="H32" s="1"/>
  <c r="Y4"/>
  <c r="AS4"/>
  <c r="AZ4"/>
  <c r="F5"/>
  <c r="U5"/>
  <c r="AB5"/>
  <c r="Z5"/>
  <c r="AZ5"/>
  <c r="X6"/>
  <c r="AR6"/>
  <c r="F7"/>
  <c r="U7"/>
  <c r="AZ7"/>
  <c r="G8"/>
  <c r="AB8"/>
  <c r="AN8"/>
  <c r="Y9"/>
  <c r="AQ9"/>
  <c r="V14"/>
  <c r="AK14"/>
  <c r="H34" s="1"/>
  <c r="Y14"/>
  <c r="AL14"/>
  <c r="AS14"/>
  <c r="AZ14"/>
  <c r="W15"/>
  <c r="AS15"/>
  <c r="AB16"/>
  <c r="AP3"/>
  <c r="AP6"/>
  <c r="Y8"/>
  <c r="AZ8"/>
  <c r="F15"/>
  <c r="F13" s="1"/>
  <c r="AK15"/>
  <c r="H46" s="1"/>
  <c r="AP15"/>
  <c r="Y16"/>
  <c r="AZ16"/>
  <c r="AK22"/>
  <c r="AR22"/>
  <c r="B26" i="26"/>
  <c r="B29"/>
  <c r="W9" i="35"/>
  <c r="AO9"/>
  <c r="AS9"/>
  <c r="AK9"/>
  <c r="AP9"/>
  <c r="Y7"/>
  <c r="AQ7"/>
  <c r="H2"/>
  <c r="F6"/>
  <c r="V6"/>
  <c r="AK6"/>
  <c r="Y6"/>
  <c r="AS6"/>
  <c r="AZ6"/>
  <c r="W5"/>
  <c r="AA5"/>
  <c r="AO5"/>
  <c r="AS5"/>
  <c r="I2"/>
  <c r="AP5"/>
  <c r="AP7"/>
  <c r="W7"/>
  <c r="AA7"/>
  <c r="AO7"/>
  <c r="AS7"/>
  <c r="V11"/>
  <c r="X11"/>
  <c r="AL11"/>
  <c r="AN11"/>
  <c r="AP11"/>
  <c r="AR11"/>
  <c r="AT11"/>
  <c r="AB22"/>
  <c r="Y22"/>
  <c r="AL22"/>
  <c r="AP22"/>
  <c r="AS22"/>
  <c r="AQ22"/>
  <c r="J33"/>
  <c r="J44"/>
  <c r="L33"/>
  <c r="L44"/>
  <c r="N33"/>
  <c r="N44"/>
  <c r="P33"/>
  <c r="P44"/>
  <c r="E43"/>
  <c r="E32"/>
  <c r="K32"/>
  <c r="K43"/>
  <c r="M32"/>
  <c r="M43"/>
  <c r="O32"/>
  <c r="O43"/>
  <c r="J27"/>
  <c r="J38"/>
  <c r="L27"/>
  <c r="L38"/>
  <c r="N27"/>
  <c r="N38"/>
  <c r="P27"/>
  <c r="P38"/>
  <c r="E29"/>
  <c r="E40"/>
  <c r="K40"/>
  <c r="K29"/>
  <c r="M40"/>
  <c r="M29"/>
  <c r="O40"/>
  <c r="O29"/>
  <c r="J41"/>
  <c r="J30"/>
  <c r="L41"/>
  <c r="L30"/>
  <c r="N41"/>
  <c r="N30"/>
  <c r="P41"/>
  <c r="P30"/>
  <c r="AZ17"/>
  <c r="AT17"/>
  <c r="AR17"/>
  <c r="D49"/>
  <c r="D48"/>
  <c r="P69"/>
  <c r="P68"/>
  <c r="P67"/>
  <c r="P66"/>
  <c r="P65"/>
  <c r="P62"/>
  <c r="P61"/>
  <c r="P57"/>
  <c r="P56"/>
  <c r="P55"/>
  <c r="P54"/>
  <c r="P53"/>
  <c r="Q51"/>
  <c r="V3"/>
  <c r="X3"/>
  <c r="AL3"/>
  <c r="AN3"/>
  <c r="AR3"/>
  <c r="AT3"/>
  <c r="U4"/>
  <c r="W4"/>
  <c r="AA4"/>
  <c r="AC4"/>
  <c r="AM4"/>
  <c r="AO4"/>
  <c r="AQ4"/>
  <c r="V5"/>
  <c r="X5"/>
  <c r="AL5"/>
  <c r="AN5"/>
  <c r="AR5"/>
  <c r="AT5"/>
  <c r="U6"/>
  <c r="W6"/>
  <c r="AA6"/>
  <c r="AC6"/>
  <c r="AM6"/>
  <c r="AO6"/>
  <c r="AQ6"/>
  <c r="V7"/>
  <c r="X7"/>
  <c r="AL7"/>
  <c r="AN7"/>
  <c r="AR7"/>
  <c r="AT7"/>
  <c r="U8"/>
  <c r="W8"/>
  <c r="AA8"/>
  <c r="AC8"/>
  <c r="AM8"/>
  <c r="AO8"/>
  <c r="AQ8"/>
  <c r="V9"/>
  <c r="X9"/>
  <c r="Z9"/>
  <c r="AL9"/>
  <c r="AN9"/>
  <c r="AR9"/>
  <c r="AT9"/>
  <c r="U10"/>
  <c r="W10"/>
  <c r="AA10"/>
  <c r="AC10"/>
  <c r="AM10"/>
  <c r="AO10"/>
  <c r="AQ10"/>
  <c r="U14"/>
  <c r="W14"/>
  <c r="AA14"/>
  <c r="AC14"/>
  <c r="AM14"/>
  <c r="AO14"/>
  <c r="AQ14"/>
  <c r="V15"/>
  <c r="X15"/>
  <c r="Z15"/>
  <c r="AL15"/>
  <c r="AN15"/>
  <c r="AR15"/>
  <c r="AT15"/>
  <c r="U16"/>
  <c r="W16"/>
  <c r="G39" s="1"/>
  <c r="AA16"/>
  <c r="AC16"/>
  <c r="AM16"/>
  <c r="AO16"/>
  <c r="AQ16"/>
  <c r="V17"/>
  <c r="X17"/>
  <c r="Z17"/>
  <c r="AP17"/>
  <c r="Q46"/>
  <c r="R45"/>
  <c r="Q44"/>
  <c r="R43"/>
  <c r="Q42"/>
  <c r="Q40"/>
  <c r="R39"/>
  <c r="Q38"/>
  <c r="R35"/>
  <c r="Q34"/>
  <c r="R33"/>
  <c r="Q32"/>
  <c r="R31"/>
  <c r="R29"/>
  <c r="Q28"/>
  <c r="R27"/>
  <c r="R46"/>
  <c r="Q45"/>
  <c r="R44"/>
  <c r="Q43"/>
  <c r="R42"/>
  <c r="R40"/>
  <c r="Q39"/>
  <c r="R38"/>
  <c r="Q35"/>
  <c r="R34"/>
  <c r="Q33"/>
  <c r="R32"/>
  <c r="Q31"/>
  <c r="Q29"/>
  <c r="R28"/>
  <c r="Q27"/>
  <c r="E33"/>
  <c r="E44"/>
  <c r="G44"/>
  <c r="F44"/>
  <c r="K44"/>
  <c r="K33"/>
  <c r="M44"/>
  <c r="M33"/>
  <c r="O44"/>
  <c r="O33"/>
  <c r="J43"/>
  <c r="J32"/>
  <c r="L43"/>
  <c r="L32"/>
  <c r="N43"/>
  <c r="N32"/>
  <c r="P43"/>
  <c r="P32"/>
  <c r="E27"/>
  <c r="E38"/>
  <c r="F38"/>
  <c r="F27"/>
  <c r="G27"/>
  <c r="G38"/>
  <c r="K38"/>
  <c r="K27"/>
  <c r="M38"/>
  <c r="M27"/>
  <c r="O38"/>
  <c r="O27"/>
  <c r="J29"/>
  <c r="J40"/>
  <c r="L29"/>
  <c r="L40"/>
  <c r="N29"/>
  <c r="N40"/>
  <c r="P29"/>
  <c r="P40"/>
  <c r="E41"/>
  <c r="E30"/>
  <c r="G41"/>
  <c r="G30"/>
  <c r="K30"/>
  <c r="K41"/>
  <c r="M30"/>
  <c r="M41"/>
  <c r="O30"/>
  <c r="O41"/>
  <c r="O46"/>
  <c r="M46"/>
  <c r="K46"/>
  <c r="P45"/>
  <c r="N45"/>
  <c r="L45"/>
  <c r="J45"/>
  <c r="E45"/>
  <c r="O42"/>
  <c r="M42"/>
  <c r="K42"/>
  <c r="H42"/>
  <c r="F42"/>
  <c r="P39"/>
  <c r="N39"/>
  <c r="L39"/>
  <c r="J39"/>
  <c r="E39"/>
  <c r="P35"/>
  <c r="N35"/>
  <c r="L35"/>
  <c r="J35"/>
  <c r="E35"/>
  <c r="O34"/>
  <c r="M34"/>
  <c r="K34"/>
  <c r="P31"/>
  <c r="N31"/>
  <c r="L31"/>
  <c r="J31"/>
  <c r="E31"/>
  <c r="O28"/>
  <c r="M28"/>
  <c r="K28"/>
  <c r="P46"/>
  <c r="N46"/>
  <c r="L46"/>
  <c r="J46"/>
  <c r="E46"/>
  <c r="O45"/>
  <c r="M45"/>
  <c r="K45"/>
  <c r="P42"/>
  <c r="N42"/>
  <c r="L42"/>
  <c r="J42"/>
  <c r="E42"/>
  <c r="O39"/>
  <c r="M39"/>
  <c r="K39"/>
  <c r="F39"/>
  <c r="O35"/>
  <c r="M35"/>
  <c r="K35"/>
  <c r="H35"/>
  <c r="P34"/>
  <c r="N34"/>
  <c r="L34"/>
  <c r="J34"/>
  <c r="E34"/>
  <c r="O31"/>
  <c r="M31"/>
  <c r="K31"/>
  <c r="H31"/>
  <c r="F31"/>
  <c r="P28"/>
  <c r="N28"/>
  <c r="L28"/>
  <c r="J28"/>
  <c r="E28"/>
  <c r="AK3"/>
  <c r="AL4"/>
  <c r="AK5"/>
  <c r="H29" s="1"/>
  <c r="AL6"/>
  <c r="AK7"/>
  <c r="AZ22"/>
  <c r="AK23"/>
  <c r="O53"/>
  <c r="O54"/>
  <c r="O55"/>
  <c r="O56"/>
  <c r="O57"/>
  <c r="O61"/>
  <c r="O62"/>
  <c r="O65"/>
  <c r="O66"/>
  <c r="O67"/>
  <c r="O68"/>
  <c r="O69"/>
  <c r="U22"/>
  <c r="W22"/>
  <c r="G31" s="1"/>
  <c r="AA22"/>
  <c r="AC22"/>
  <c r="AM22"/>
  <c r="AO22"/>
  <c r="V23"/>
  <c r="X23"/>
  <c r="AL23"/>
  <c r="AN23"/>
  <c r="AR23"/>
  <c r="AT23"/>
  <c r="F53"/>
  <c r="F54"/>
  <c r="F55"/>
  <c r="F56"/>
  <c r="F57"/>
  <c r="F61"/>
  <c r="F62"/>
  <c r="F65"/>
  <c r="F66"/>
  <c r="F67"/>
  <c r="F68"/>
  <c r="B30" i="26"/>
  <c r="AR20" i="33"/>
  <c r="CL9" i="5"/>
  <c r="CI9"/>
  <c r="CK9"/>
  <c r="H22" i="33"/>
  <c r="F22"/>
  <c r="AN30"/>
  <c r="W31"/>
  <c r="G8" i="34"/>
  <c r="V9"/>
  <c r="AM10"/>
  <c r="CN34" i="5"/>
  <c r="CN72"/>
  <c r="CN51"/>
  <c r="CN12"/>
  <c r="CN66"/>
  <c r="CN55"/>
  <c r="CN68"/>
  <c r="CN46"/>
  <c r="CN60"/>
  <c r="CN23"/>
  <c r="CN69"/>
  <c r="CN65"/>
  <c r="CN59"/>
  <c r="CN35"/>
  <c r="CN63"/>
  <c r="CN41"/>
  <c r="CN52"/>
  <c r="U8" i="34"/>
  <c r="AZ11" i="33"/>
  <c r="G11"/>
  <c r="AZ6" i="34"/>
  <c r="AB7"/>
  <c r="V22" i="32"/>
  <c r="H22"/>
  <c r="F22"/>
  <c r="AT22"/>
  <c r="F29"/>
  <c r="AR30"/>
  <c r="AA31"/>
  <c r="G11"/>
  <c r="F24" i="34"/>
  <c r="AM25" i="30"/>
  <c r="AM7" i="32"/>
  <c r="Z8"/>
  <c r="Z10"/>
  <c r="W11"/>
  <c r="V12" i="33"/>
  <c r="F8" i="34"/>
  <c r="AB30" i="33"/>
  <c r="AA31"/>
  <c r="H23" i="34"/>
  <c r="V23"/>
  <c r="H24"/>
  <c r="V31"/>
  <c r="CN39" i="5"/>
  <c r="CN47"/>
  <c r="CN37"/>
  <c r="CN28"/>
  <c r="CN42"/>
  <c r="CN21"/>
  <c r="CN32"/>
  <c r="CN45"/>
  <c r="CN17"/>
  <c r="CN30"/>
  <c r="CN53"/>
  <c r="CN49"/>
  <c r="CN50"/>
  <c r="CN54"/>
  <c r="CN33"/>
  <c r="Z20" i="32"/>
  <c r="AC23"/>
  <c r="AB24" i="34"/>
  <c r="X22" i="33"/>
  <c r="CG9" i="5"/>
  <c r="CJ9"/>
  <c r="AK24" i="32"/>
  <c r="AR24"/>
  <c r="CF9" i="5"/>
  <c r="X21" i="32"/>
  <c r="W7" i="33"/>
  <c r="AR8"/>
  <c r="Y9"/>
  <c r="F10"/>
  <c r="Y23"/>
  <c r="Y30" i="34"/>
  <c r="AK13" i="30"/>
  <c r="Y23" i="32"/>
  <c r="X24" i="34"/>
  <c r="AA16" i="30"/>
  <c r="H5" i="32"/>
  <c r="AN6"/>
  <c r="Y7"/>
  <c r="AA9"/>
  <c r="AN10"/>
  <c r="AQ11"/>
  <c r="AM21"/>
  <c r="H23"/>
  <c r="AM23"/>
  <c r="H5" i="33"/>
  <c r="F6"/>
  <c r="AT6"/>
  <c r="AQ7"/>
  <c r="V8"/>
  <c r="AZ9"/>
  <c r="Z10"/>
  <c r="W11"/>
  <c r="AR12"/>
  <c r="H20"/>
  <c r="AS21"/>
  <c r="H23"/>
  <c r="U23"/>
  <c r="AZ23"/>
  <c r="F29"/>
  <c r="AZ31"/>
  <c r="F9" i="34"/>
  <c r="AN9"/>
  <c r="AA10"/>
  <c r="F11"/>
  <c r="AR11"/>
  <c r="AR21"/>
  <c r="AN24"/>
  <c r="U30"/>
  <c r="AZ30"/>
  <c r="AT31"/>
  <c r="Y22"/>
  <c r="F6" i="32"/>
  <c r="F21"/>
  <c r="AC21"/>
  <c r="F8" i="33"/>
  <c r="AA21"/>
  <c r="AT22"/>
  <c r="X30"/>
  <c r="AA8" i="34"/>
  <c r="Y8"/>
  <c r="AK11"/>
  <c r="AM20"/>
  <c r="AK21"/>
  <c r="AZ22"/>
  <c r="AT23"/>
  <c r="V24"/>
  <c r="Z24"/>
  <c r="F12" i="33"/>
  <c r="H25" i="30"/>
  <c r="F24"/>
  <c r="Z6" i="33"/>
  <c r="AC7"/>
  <c r="AN8"/>
  <c r="G9"/>
  <c r="AC9"/>
  <c r="V10"/>
  <c r="AT10"/>
  <c r="AC11"/>
  <c r="AN12"/>
  <c r="Z30"/>
  <c r="AA6" i="34"/>
  <c r="AR7"/>
  <c r="AZ8"/>
  <c r="Z9"/>
  <c r="AR9"/>
  <c r="AC10"/>
  <c r="V11"/>
  <c r="AP11"/>
  <c r="AT24"/>
  <c r="G9" i="32"/>
  <c r="AK20" i="33"/>
  <c r="AC23"/>
  <c r="AC31"/>
  <c r="Y31"/>
  <c r="AC20" i="34"/>
  <c r="AS23"/>
  <c r="AC25" i="30"/>
  <c r="AC71"/>
  <c r="AG71"/>
  <c r="H71" s="1"/>
  <c r="J68" i="34"/>
  <c r="AY15" i="6"/>
  <c r="W23" i="33"/>
  <c r="AB23"/>
  <c r="AA23"/>
  <c r="AM23"/>
  <c r="AK12"/>
  <c r="V30"/>
  <c r="AT30"/>
  <c r="U31"/>
  <c r="AB31"/>
  <c r="AM31"/>
  <c r="F9"/>
  <c r="U9"/>
  <c r="AB9"/>
  <c r="AA9"/>
  <c r="AM9"/>
  <c r="Y7"/>
  <c r="G7"/>
  <c r="AA7"/>
  <c r="AM7"/>
  <c r="AK8"/>
  <c r="AA11"/>
  <c r="AM11"/>
  <c r="AN10"/>
  <c r="AB25" i="30"/>
  <c r="G16"/>
  <c r="AL7" i="34"/>
  <c r="AS9"/>
  <c r="AQ9"/>
  <c r="G10"/>
  <c r="AZ10"/>
  <c r="Z11"/>
  <c r="AC22"/>
  <c r="AP23"/>
  <c r="AP24"/>
  <c r="AC30"/>
  <c r="Z31"/>
  <c r="Z6" i="32"/>
  <c r="G7"/>
  <c r="AC7"/>
  <c r="F8"/>
  <c r="W9"/>
  <c r="AZ9"/>
  <c r="V10"/>
  <c r="V12"/>
  <c r="V21"/>
  <c r="AB21"/>
  <c r="AA21"/>
  <c r="U23"/>
  <c r="AB23"/>
  <c r="AA23"/>
  <c r="AN30"/>
  <c r="W21" i="33"/>
  <c r="AO21"/>
  <c r="AB22"/>
  <c r="F7" i="34"/>
  <c r="AP7"/>
  <c r="X9"/>
  <c r="W10"/>
  <c r="X11"/>
  <c r="AL11"/>
  <c r="AB20"/>
  <c r="AA20"/>
  <c r="AP21"/>
  <c r="AK23"/>
  <c r="AL23"/>
  <c r="AR24"/>
  <c r="V6" i="33"/>
  <c r="AN6"/>
  <c r="V22"/>
  <c r="Z22"/>
  <c r="AN22"/>
  <c r="F20"/>
  <c r="V20"/>
  <c r="AN20"/>
  <c r="G19"/>
  <c r="AC21"/>
  <c r="Y21"/>
  <c r="AQ21"/>
  <c r="C48"/>
  <c r="D46" s="1"/>
  <c r="G11" i="34"/>
  <c r="AB11"/>
  <c r="AN11"/>
  <c r="AT11"/>
  <c r="AZ11"/>
  <c r="Y11"/>
  <c r="G9"/>
  <c r="AK9"/>
  <c r="Y9"/>
  <c r="AL9"/>
  <c r="AP9"/>
  <c r="AP8"/>
  <c r="W8"/>
  <c r="AB8"/>
  <c r="AK8"/>
  <c r="AM8"/>
  <c r="W16" i="30"/>
  <c r="AZ16"/>
  <c r="V6" i="32"/>
  <c r="F7"/>
  <c r="U7"/>
  <c r="AB7"/>
  <c r="AA7"/>
  <c r="V8"/>
  <c r="AT8"/>
  <c r="AC9"/>
  <c r="Y9"/>
  <c r="F10"/>
  <c r="F12"/>
  <c r="AR12"/>
  <c r="H20"/>
  <c r="F20"/>
  <c r="V20"/>
  <c r="AT20"/>
  <c r="H21"/>
  <c r="U21"/>
  <c r="W21"/>
  <c r="Z21"/>
  <c r="AZ21"/>
  <c r="Z22"/>
  <c r="W23"/>
  <c r="AK30"/>
  <c r="W31"/>
  <c r="AZ31"/>
  <c r="AK6" i="33"/>
  <c r="AR6"/>
  <c r="F7"/>
  <c r="U7"/>
  <c r="AB7"/>
  <c r="AZ7"/>
  <c r="Z8"/>
  <c r="AT8"/>
  <c r="W9"/>
  <c r="AQ9"/>
  <c r="AK10"/>
  <c r="AR10"/>
  <c r="F11"/>
  <c r="U11"/>
  <c r="Y11"/>
  <c r="AB11"/>
  <c r="Z12"/>
  <c r="AT12"/>
  <c r="Z20"/>
  <c r="AT20"/>
  <c r="H21"/>
  <c r="U21"/>
  <c r="AB21"/>
  <c r="AM21"/>
  <c r="AR22"/>
  <c r="AQ23"/>
  <c r="AK30"/>
  <c r="AR30"/>
  <c r="AQ31"/>
  <c r="F23" i="34"/>
  <c r="F25" i="30"/>
  <c r="AQ11" i="33"/>
  <c r="AP22"/>
  <c r="AP30"/>
  <c r="AC6" i="34"/>
  <c r="AM6"/>
  <c r="V7"/>
  <c r="AQ10"/>
  <c r="H20"/>
  <c r="U20"/>
  <c r="AZ20"/>
  <c r="H21"/>
  <c r="F21"/>
  <c r="V21"/>
  <c r="AN21"/>
  <c r="H22"/>
  <c r="U22"/>
  <c r="AB22"/>
  <c r="AM22"/>
  <c r="Z23"/>
  <c r="AK24"/>
  <c r="Y24"/>
  <c r="AL24"/>
  <c r="AS24"/>
  <c r="AQ24"/>
  <c r="W30"/>
  <c r="AB30"/>
  <c r="AA30"/>
  <c r="AM30"/>
  <c r="F29"/>
  <c r="AN31"/>
  <c r="Y7"/>
  <c r="I5"/>
  <c r="G7"/>
  <c r="X7"/>
  <c r="AN7"/>
  <c r="AT7"/>
  <c r="AZ7"/>
  <c r="AK31"/>
  <c r="AR31"/>
  <c r="AQ30"/>
  <c r="AZ24"/>
  <c r="U24"/>
  <c r="W24"/>
  <c r="AA24"/>
  <c r="AC24"/>
  <c r="AM24"/>
  <c r="AO24"/>
  <c r="Y23"/>
  <c r="AZ23"/>
  <c r="X23"/>
  <c r="AB23"/>
  <c r="AN23"/>
  <c r="AR23"/>
  <c r="AK10"/>
  <c r="AP10"/>
  <c r="F10"/>
  <c r="U10"/>
  <c r="Y10"/>
  <c r="AO10"/>
  <c r="AS10"/>
  <c r="AK6"/>
  <c r="AP6"/>
  <c r="F6"/>
  <c r="U6"/>
  <c r="Y6"/>
  <c r="AO6"/>
  <c r="AT6" i="32"/>
  <c r="W7"/>
  <c r="AZ7"/>
  <c r="AN8"/>
  <c r="F9"/>
  <c r="U9"/>
  <c r="AB9"/>
  <c r="AM9"/>
  <c r="AT10"/>
  <c r="AC11"/>
  <c r="AN12"/>
  <c r="AN20"/>
  <c r="Y21"/>
  <c r="AQ21"/>
  <c r="AN22"/>
  <c r="AZ23"/>
  <c r="V30"/>
  <c r="AT30"/>
  <c r="U31"/>
  <c r="AM31"/>
  <c r="G6" i="33"/>
  <c r="X6"/>
  <c r="AB6"/>
  <c r="AO7"/>
  <c r="AS7"/>
  <c r="Y8"/>
  <c r="AL8"/>
  <c r="AP8"/>
  <c r="AS8"/>
  <c r="AQ8"/>
  <c r="Z9"/>
  <c r="AP9"/>
  <c r="G10"/>
  <c r="X10"/>
  <c r="AB10"/>
  <c r="AO11"/>
  <c r="AS11"/>
  <c r="Y12"/>
  <c r="AL12"/>
  <c r="AP12"/>
  <c r="AS12"/>
  <c r="AQ12"/>
  <c r="Y20"/>
  <c r="AL20"/>
  <c r="AP20"/>
  <c r="AS20"/>
  <c r="AQ20"/>
  <c r="F23"/>
  <c r="Z23"/>
  <c r="AP23"/>
  <c r="Z31"/>
  <c r="AP31"/>
  <c r="Y20" i="34"/>
  <c r="AQ20"/>
  <c r="Z21"/>
  <c r="AO30"/>
  <c r="AS30"/>
  <c r="X31"/>
  <c r="AB31"/>
  <c r="Y6" i="33"/>
  <c r="AL6"/>
  <c r="AP6"/>
  <c r="AS6"/>
  <c r="AQ6"/>
  <c r="I5"/>
  <c r="Z7"/>
  <c r="AP7"/>
  <c r="G8"/>
  <c r="X8"/>
  <c r="AB8"/>
  <c r="AO9"/>
  <c r="AS9"/>
  <c r="Y10"/>
  <c r="AL10"/>
  <c r="AP10"/>
  <c r="AS10"/>
  <c r="AQ10"/>
  <c r="Z11"/>
  <c r="AP11"/>
  <c r="G12"/>
  <c r="X12"/>
  <c r="AB12"/>
  <c r="X20"/>
  <c r="AB20"/>
  <c r="F21"/>
  <c r="Z21"/>
  <c r="AZ21"/>
  <c r="AP21"/>
  <c r="AK22"/>
  <c r="Y22"/>
  <c r="AL22"/>
  <c r="AS22"/>
  <c r="AQ22"/>
  <c r="AO23"/>
  <c r="AS23"/>
  <c r="Y30"/>
  <c r="AL30"/>
  <c r="AS30"/>
  <c r="AQ30"/>
  <c r="AO31"/>
  <c r="AS31"/>
  <c r="X21" i="34"/>
  <c r="AL21"/>
  <c r="AT21"/>
  <c r="AQ22"/>
  <c r="AK30"/>
  <c r="AP30"/>
  <c r="Y31"/>
  <c r="AL31"/>
  <c r="AP31"/>
  <c r="AS31"/>
  <c r="AZ31"/>
  <c r="F22"/>
  <c r="AK22"/>
  <c r="AP22"/>
  <c r="W22"/>
  <c r="AA22"/>
  <c r="AO22"/>
  <c r="AS22"/>
  <c r="G19"/>
  <c r="AB21"/>
  <c r="Y21"/>
  <c r="AS21"/>
  <c r="AZ21"/>
  <c r="W20"/>
  <c r="AO20"/>
  <c r="AS20"/>
  <c r="F20"/>
  <c r="AK20"/>
  <c r="AP20"/>
  <c r="H5"/>
  <c r="C48"/>
  <c r="D47" s="1"/>
  <c r="AQ6"/>
  <c r="AS6"/>
  <c r="AC8"/>
  <c r="AO8"/>
  <c r="AQ8"/>
  <c r="AS8"/>
  <c r="AB9"/>
  <c r="AT9"/>
  <c r="AZ9"/>
  <c r="AC12"/>
  <c r="V6"/>
  <c r="X6"/>
  <c r="Z6"/>
  <c r="AB6"/>
  <c r="AL6"/>
  <c r="AN6"/>
  <c r="AR6"/>
  <c r="AT6"/>
  <c r="U7"/>
  <c r="W7"/>
  <c r="AA7"/>
  <c r="AC7"/>
  <c r="AK7"/>
  <c r="AM7"/>
  <c r="AO7"/>
  <c r="AQ7"/>
  <c r="AS7"/>
  <c r="V8"/>
  <c r="X8"/>
  <c r="Z8"/>
  <c r="AL8"/>
  <c r="AN8"/>
  <c r="AR8"/>
  <c r="AT8"/>
  <c r="U9"/>
  <c r="W9"/>
  <c r="AA9"/>
  <c r="AC9"/>
  <c r="AM9"/>
  <c r="AO9"/>
  <c r="V10"/>
  <c r="X10"/>
  <c r="Z10"/>
  <c r="AB10"/>
  <c r="AL10"/>
  <c r="AN10"/>
  <c r="AR10"/>
  <c r="AT10"/>
  <c r="U11"/>
  <c r="W11"/>
  <c r="AA11"/>
  <c r="AC11"/>
  <c r="AM11"/>
  <c r="AO11"/>
  <c r="AQ11"/>
  <c r="AS11"/>
  <c r="V12"/>
  <c r="X12"/>
  <c r="Z12"/>
  <c r="AL12"/>
  <c r="AN12"/>
  <c r="AR12"/>
  <c r="AT12"/>
  <c r="AZ12"/>
  <c r="V20"/>
  <c r="X20"/>
  <c r="Z20"/>
  <c r="AL20"/>
  <c r="AN20"/>
  <c r="AR20"/>
  <c r="AT20"/>
  <c r="U21"/>
  <c r="W21"/>
  <c r="AA21"/>
  <c r="AC21"/>
  <c r="AM21"/>
  <c r="AO21"/>
  <c r="AQ21"/>
  <c r="V22"/>
  <c r="X22"/>
  <c r="Z22"/>
  <c r="AL22"/>
  <c r="AN22"/>
  <c r="AR22"/>
  <c r="AT22"/>
  <c r="U23"/>
  <c r="W23"/>
  <c r="AA23"/>
  <c r="AC23"/>
  <c r="AM23"/>
  <c r="AO23"/>
  <c r="AQ23"/>
  <c r="V30"/>
  <c r="X30"/>
  <c r="Z30"/>
  <c r="AL30"/>
  <c r="AN30"/>
  <c r="AR30"/>
  <c r="AT30"/>
  <c r="U31"/>
  <c r="W31"/>
  <c r="AA31"/>
  <c r="AC31"/>
  <c r="AM31"/>
  <c r="AO31"/>
  <c r="AQ31"/>
  <c r="Q49"/>
  <c r="O51"/>
  <c r="O52"/>
  <c r="O53"/>
  <c r="O54"/>
  <c r="O55"/>
  <c r="O59"/>
  <c r="O63"/>
  <c r="O64"/>
  <c r="O65"/>
  <c r="O66"/>
  <c r="Z7"/>
  <c r="AM12"/>
  <c r="AO12"/>
  <c r="AQ12"/>
  <c r="P51"/>
  <c r="P52"/>
  <c r="P53"/>
  <c r="P54"/>
  <c r="P55"/>
  <c r="P59"/>
  <c r="P63"/>
  <c r="P64"/>
  <c r="P65"/>
  <c r="P66"/>
  <c r="D47" i="33"/>
  <c r="P67"/>
  <c r="P66"/>
  <c r="P65"/>
  <c r="P64"/>
  <c r="P63"/>
  <c r="P59"/>
  <c r="P55"/>
  <c r="P54"/>
  <c r="P53"/>
  <c r="P52"/>
  <c r="P51"/>
  <c r="Q49"/>
  <c r="AZ6"/>
  <c r="AK7"/>
  <c r="AZ8"/>
  <c r="AK9"/>
  <c r="AZ10"/>
  <c r="AK11"/>
  <c r="AZ12"/>
  <c r="AZ20"/>
  <c r="AK21"/>
  <c r="AZ22"/>
  <c r="AK23"/>
  <c r="AZ30"/>
  <c r="AK31"/>
  <c r="O51"/>
  <c r="O52"/>
  <c r="O53"/>
  <c r="O54"/>
  <c r="O55"/>
  <c r="O59"/>
  <c r="O63"/>
  <c r="O64"/>
  <c r="O65"/>
  <c r="O66"/>
  <c r="O67"/>
  <c r="U6"/>
  <c r="W6"/>
  <c r="AA6"/>
  <c r="AC6"/>
  <c r="AM6"/>
  <c r="AO6"/>
  <c r="V7"/>
  <c r="X7"/>
  <c r="AL7"/>
  <c r="AN7"/>
  <c r="AR7"/>
  <c r="AT7"/>
  <c r="U8"/>
  <c r="W8"/>
  <c r="AA8"/>
  <c r="AC8"/>
  <c r="AM8"/>
  <c r="AO8"/>
  <c r="V9"/>
  <c r="X9"/>
  <c r="AL9"/>
  <c r="AN9"/>
  <c r="AR9"/>
  <c r="AT9"/>
  <c r="U10"/>
  <c r="W10"/>
  <c r="AA10"/>
  <c r="AC10"/>
  <c r="AM10"/>
  <c r="AO10"/>
  <c r="V11"/>
  <c r="X11"/>
  <c r="AL11"/>
  <c r="AN11"/>
  <c r="AR11"/>
  <c r="AT11"/>
  <c r="U12"/>
  <c r="W12"/>
  <c r="AA12"/>
  <c r="AC12"/>
  <c r="AM12"/>
  <c r="AO12"/>
  <c r="U20"/>
  <c r="W20"/>
  <c r="AA20"/>
  <c r="AC20"/>
  <c r="AM20"/>
  <c r="AO20"/>
  <c r="V21"/>
  <c r="X21"/>
  <c r="AL21"/>
  <c r="AN21"/>
  <c r="AR21"/>
  <c r="AT21"/>
  <c r="U22"/>
  <c r="W22"/>
  <c r="AA22"/>
  <c r="AC22"/>
  <c r="AM22"/>
  <c r="AO22"/>
  <c r="V23"/>
  <c r="X23"/>
  <c r="AL23"/>
  <c r="AN23"/>
  <c r="AR23"/>
  <c r="AT23"/>
  <c r="U30"/>
  <c r="W30"/>
  <c r="AA30"/>
  <c r="AC30"/>
  <c r="AM30"/>
  <c r="AO30"/>
  <c r="V31"/>
  <c r="X31"/>
  <c r="AL31"/>
  <c r="AN31"/>
  <c r="AR31"/>
  <c r="AT31"/>
  <c r="AK12" i="32"/>
  <c r="AA11"/>
  <c r="AM11"/>
  <c r="AK20"/>
  <c r="AR20"/>
  <c r="AK8"/>
  <c r="AR8"/>
  <c r="AQ7"/>
  <c r="AK22"/>
  <c r="AR22"/>
  <c r="AQ23"/>
  <c r="AK10"/>
  <c r="AR10"/>
  <c r="AQ9"/>
  <c r="AK6"/>
  <c r="AR6"/>
  <c r="AO13"/>
  <c r="F11"/>
  <c r="U11"/>
  <c r="Y11"/>
  <c r="AB11"/>
  <c r="AZ11"/>
  <c r="Z12"/>
  <c r="AT12"/>
  <c r="AQ13"/>
  <c r="C48"/>
  <c r="D47" s="1"/>
  <c r="AC70"/>
  <c r="AG70"/>
  <c r="AC31"/>
  <c r="AQ31"/>
  <c r="Z30"/>
  <c r="AL30"/>
  <c r="AP30"/>
  <c r="AS30"/>
  <c r="G19"/>
  <c r="AK21"/>
  <c r="AO21"/>
  <c r="AS21"/>
  <c r="AL21"/>
  <c r="AN21"/>
  <c r="AP21"/>
  <c r="AR21"/>
  <c r="AT21"/>
  <c r="Y6"/>
  <c r="AL6"/>
  <c r="AP6"/>
  <c r="AS6"/>
  <c r="AQ6"/>
  <c r="I5"/>
  <c r="Z7"/>
  <c r="AP7"/>
  <c r="G8"/>
  <c r="X8"/>
  <c r="AB8"/>
  <c r="AO9"/>
  <c r="AS9"/>
  <c r="Y10"/>
  <c r="AL10"/>
  <c r="AP10"/>
  <c r="AS10"/>
  <c r="AQ10"/>
  <c r="Z11"/>
  <c r="AP11"/>
  <c r="G12"/>
  <c r="X12"/>
  <c r="AB12"/>
  <c r="AL14"/>
  <c r="AP14"/>
  <c r="AS14"/>
  <c r="Z15"/>
  <c r="AP15"/>
  <c r="G16"/>
  <c r="X16"/>
  <c r="AB16"/>
  <c r="X20"/>
  <c r="AB20"/>
  <c r="X22"/>
  <c r="AB22"/>
  <c r="F23"/>
  <c r="Z23"/>
  <c r="AP23"/>
  <c r="Y24"/>
  <c r="AL24"/>
  <c r="AP24"/>
  <c r="AS24"/>
  <c r="AQ24"/>
  <c r="AO25"/>
  <c r="AS25"/>
  <c r="X26"/>
  <c r="AB26"/>
  <c r="Y30"/>
  <c r="AQ30"/>
  <c r="AO31"/>
  <c r="AS31"/>
  <c r="AB32"/>
  <c r="G6"/>
  <c r="X6"/>
  <c r="AB6"/>
  <c r="AO7"/>
  <c r="AS7"/>
  <c r="Y8"/>
  <c r="AL8"/>
  <c r="AP8"/>
  <c r="AS8"/>
  <c r="AQ8"/>
  <c r="Z9"/>
  <c r="AP9"/>
  <c r="G10"/>
  <c r="X10"/>
  <c r="AB10"/>
  <c r="AO11"/>
  <c r="AS11"/>
  <c r="Y12"/>
  <c r="AL12"/>
  <c r="AP12"/>
  <c r="AS12"/>
  <c r="AQ12"/>
  <c r="G14"/>
  <c r="AO15"/>
  <c r="AS15"/>
  <c r="Y16"/>
  <c r="AL16"/>
  <c r="AP16"/>
  <c r="AS16"/>
  <c r="AQ16"/>
  <c r="Y20"/>
  <c r="AL20"/>
  <c r="AP20"/>
  <c r="AS20"/>
  <c r="AQ20"/>
  <c r="Y22"/>
  <c r="AL22"/>
  <c r="AP22"/>
  <c r="AS22"/>
  <c r="AQ22"/>
  <c r="AO23"/>
  <c r="AS23"/>
  <c r="X24"/>
  <c r="AB24"/>
  <c r="F25"/>
  <c r="Z25"/>
  <c r="AP25"/>
  <c r="Y26"/>
  <c r="AL26"/>
  <c r="AP26"/>
  <c r="AS26"/>
  <c r="AQ26"/>
  <c r="X30"/>
  <c r="AB30"/>
  <c r="Y31"/>
  <c r="AB31"/>
  <c r="Z31"/>
  <c r="AP31"/>
  <c r="Y32"/>
  <c r="AL32"/>
  <c r="AP32"/>
  <c r="AS32"/>
  <c r="AQ32"/>
  <c r="Z13"/>
  <c r="X13"/>
  <c r="V13"/>
  <c r="AK14"/>
  <c r="AC14"/>
  <c r="AA14"/>
  <c r="W14"/>
  <c r="U14"/>
  <c r="D46"/>
  <c r="P70"/>
  <c r="P69"/>
  <c r="P68"/>
  <c r="P67"/>
  <c r="P66"/>
  <c r="P65"/>
  <c r="P64"/>
  <c r="P63"/>
  <c r="P59"/>
  <c r="P56"/>
  <c r="P55"/>
  <c r="P54"/>
  <c r="P53"/>
  <c r="P52"/>
  <c r="P51"/>
  <c r="Q49"/>
  <c r="AZ13"/>
  <c r="AT13"/>
  <c r="AR13"/>
  <c r="AN13"/>
  <c r="AL13"/>
  <c r="AQ14"/>
  <c r="AO14"/>
  <c r="AM14"/>
  <c r="AZ6"/>
  <c r="AK7"/>
  <c r="AZ8"/>
  <c r="AK9"/>
  <c r="AZ10"/>
  <c r="AK11"/>
  <c r="AZ12"/>
  <c r="AK13"/>
  <c r="Y14"/>
  <c r="U6"/>
  <c r="W6"/>
  <c r="AA6"/>
  <c r="AC6"/>
  <c r="AM6"/>
  <c r="AO6"/>
  <c r="V7"/>
  <c r="X7"/>
  <c r="AL7"/>
  <c r="AN7"/>
  <c r="AR7"/>
  <c r="AT7"/>
  <c r="U8"/>
  <c r="W8"/>
  <c r="AA8"/>
  <c r="AC8"/>
  <c r="AM8"/>
  <c r="AO8"/>
  <c r="V9"/>
  <c r="X9"/>
  <c r="AL9"/>
  <c r="AN9"/>
  <c r="AR9"/>
  <c r="AT9"/>
  <c r="U10"/>
  <c r="W10"/>
  <c r="AA10"/>
  <c r="AC10"/>
  <c r="AM10"/>
  <c r="AO10"/>
  <c r="V11"/>
  <c r="X11"/>
  <c r="AL11"/>
  <c r="AN11"/>
  <c r="AR11"/>
  <c r="AT11"/>
  <c r="U12"/>
  <c r="W12"/>
  <c r="AA12"/>
  <c r="AC12"/>
  <c r="AM12"/>
  <c r="AO12"/>
  <c r="W13"/>
  <c r="AA13"/>
  <c r="AP13"/>
  <c r="X14"/>
  <c r="AB14"/>
  <c r="AZ14"/>
  <c r="AK15"/>
  <c r="AZ16"/>
  <c r="AZ20"/>
  <c r="AZ22"/>
  <c r="AK23"/>
  <c r="AZ24"/>
  <c r="AK25"/>
  <c r="AZ26"/>
  <c r="AZ30"/>
  <c r="AK31"/>
  <c r="AZ32"/>
  <c r="O51"/>
  <c r="O52"/>
  <c r="O53"/>
  <c r="O54"/>
  <c r="O55"/>
  <c r="O56"/>
  <c r="O59"/>
  <c r="O63"/>
  <c r="O64"/>
  <c r="O65"/>
  <c r="O66"/>
  <c r="O67"/>
  <c r="O68"/>
  <c r="O69"/>
  <c r="O70"/>
  <c r="V15"/>
  <c r="X15"/>
  <c r="AL15"/>
  <c r="AN15"/>
  <c r="AR15"/>
  <c r="AT15"/>
  <c r="U16"/>
  <c r="W16"/>
  <c r="AA16"/>
  <c r="AC16"/>
  <c r="AM16"/>
  <c r="AO16"/>
  <c r="U20"/>
  <c r="W20"/>
  <c r="AA20"/>
  <c r="AC20"/>
  <c r="AM20"/>
  <c r="AO20"/>
  <c r="U22"/>
  <c r="W22"/>
  <c r="AA22"/>
  <c r="AC22"/>
  <c r="AM22"/>
  <c r="AO22"/>
  <c r="V23"/>
  <c r="X23"/>
  <c r="AL23"/>
  <c r="AN23"/>
  <c r="AR23"/>
  <c r="AT23"/>
  <c r="U24"/>
  <c r="W24"/>
  <c r="AA24"/>
  <c r="AC24"/>
  <c r="AM24"/>
  <c r="AO24"/>
  <c r="V25"/>
  <c r="X25"/>
  <c r="AL25"/>
  <c r="AN25"/>
  <c r="AR25"/>
  <c r="AT25"/>
  <c r="U26"/>
  <c r="W26"/>
  <c r="AA26"/>
  <c r="AC26"/>
  <c r="AM26"/>
  <c r="AO26"/>
  <c r="U30"/>
  <c r="W30"/>
  <c r="AA30"/>
  <c r="AC30"/>
  <c r="AM30"/>
  <c r="AO30"/>
  <c r="V31"/>
  <c r="X31"/>
  <c r="AL31"/>
  <c r="AN31"/>
  <c r="AR31"/>
  <c r="AT31"/>
  <c r="U32"/>
  <c r="W32"/>
  <c r="AA32"/>
  <c r="AC32"/>
  <c r="AM32"/>
  <c r="AO32"/>
  <c r="AA25" i="30"/>
  <c r="Y15"/>
  <c r="Y16"/>
  <c r="AK24"/>
  <c r="X24"/>
  <c r="G15"/>
  <c r="AS15"/>
  <c r="AC70"/>
  <c r="AG70"/>
  <c r="X25"/>
  <c r="AQ24"/>
  <c r="U15"/>
  <c r="AM15"/>
  <c r="F16"/>
  <c r="U16"/>
  <c r="AC16"/>
  <c r="X16"/>
  <c r="V25"/>
  <c r="Z25"/>
  <c r="AZ25"/>
  <c r="V24"/>
  <c r="Z24"/>
  <c r="AM24"/>
  <c r="F15"/>
  <c r="AK15"/>
  <c r="AQ15"/>
  <c r="V16"/>
  <c r="Z16"/>
  <c r="AB16"/>
  <c r="AM16"/>
  <c r="Y24"/>
  <c r="AZ13"/>
  <c r="U25"/>
  <c r="W25"/>
  <c r="Y25"/>
  <c r="AQ25"/>
  <c r="H24"/>
  <c r="U24"/>
  <c r="W24"/>
  <c r="AA24"/>
  <c r="AZ24"/>
  <c r="W15"/>
  <c r="AA15"/>
  <c r="AQ16"/>
  <c r="AO25"/>
  <c r="X15"/>
  <c r="AO15"/>
  <c r="V15"/>
  <c r="Z15"/>
  <c r="AB15"/>
  <c r="AZ15"/>
  <c r="AK16"/>
  <c r="AO16"/>
  <c r="AS16"/>
  <c r="G13"/>
  <c r="AC24"/>
  <c r="AB24"/>
  <c r="AC15"/>
  <c r="AL16"/>
  <c r="AN16"/>
  <c r="AP16"/>
  <c r="AR16"/>
  <c r="AT16"/>
  <c r="AO13"/>
  <c r="AM13"/>
  <c r="Y13"/>
  <c r="U13"/>
  <c r="AK25"/>
  <c r="AS25"/>
  <c r="AO24"/>
  <c r="AS24"/>
  <c r="AL15"/>
  <c r="AN15"/>
  <c r="AP15"/>
  <c r="AR15"/>
  <c r="AT15"/>
  <c r="AT13"/>
  <c r="AR13"/>
  <c r="AP13"/>
  <c r="AN13"/>
  <c r="AL13"/>
  <c r="AB13"/>
  <c r="Z13"/>
  <c r="X13"/>
  <c r="V13"/>
  <c r="F13"/>
  <c r="AS13"/>
  <c r="AQ13"/>
  <c r="AC13"/>
  <c r="AA13"/>
  <c r="W13"/>
  <c r="AL25"/>
  <c r="AN25"/>
  <c r="AP25"/>
  <c r="AR25"/>
  <c r="AT25"/>
  <c r="AL24"/>
  <c r="AN24"/>
  <c r="AP24"/>
  <c r="AR24"/>
  <c r="AT24"/>
  <c r="AA32"/>
  <c r="U32"/>
  <c r="Y32"/>
  <c r="AZ32"/>
  <c r="W32"/>
  <c r="AC32"/>
  <c r="X32"/>
  <c r="V32"/>
  <c r="Z32"/>
  <c r="AB32"/>
  <c r="AM32"/>
  <c r="AQ32"/>
  <c r="AK32"/>
  <c r="AO32"/>
  <c r="AS32"/>
  <c r="AL32"/>
  <c r="AN32"/>
  <c r="AP32"/>
  <c r="AR32"/>
  <c r="AT32"/>
  <c r="AU47" i="5"/>
  <c r="AV47" s="1"/>
  <c r="BN55" i="6"/>
  <c r="BB15"/>
  <c r="BC15" s="1"/>
  <c r="BN65"/>
  <c r="BB42"/>
  <c r="BC42" s="1"/>
  <c r="D51" i="5"/>
  <c r="CA47"/>
  <c r="C47"/>
  <c r="C51"/>
  <c r="AU51"/>
  <c r="AV51" s="1"/>
  <c r="D47"/>
  <c r="CA51"/>
  <c r="BN53" i="6"/>
  <c r="BN52"/>
  <c r="BB54"/>
  <c r="BC54" s="1"/>
  <c r="BB31"/>
  <c r="BC31" s="1"/>
  <c r="BN54"/>
  <c r="BN42"/>
  <c r="BN31"/>
  <c r="BN15"/>
  <c r="BB55"/>
  <c r="BC55" s="1"/>
  <c r="BB53"/>
  <c r="BC53" s="1"/>
  <c r="BB65"/>
  <c r="BC65" s="1"/>
  <c r="BB52"/>
  <c r="BC52" s="1"/>
  <c r="G28" i="35" l="1"/>
  <c r="H45"/>
  <c r="F43"/>
  <c r="H43"/>
  <c r="F45"/>
  <c r="F35"/>
  <c r="H39"/>
  <c r="G46"/>
  <c r="G45"/>
  <c r="CN9" i="5"/>
  <c r="G5" i="34"/>
  <c r="G34" i="35"/>
  <c r="F19" i="33"/>
  <c r="G35" i="35"/>
  <c r="F2"/>
  <c r="G33"/>
  <c r="H13"/>
  <c r="G2"/>
  <c r="H19" i="32"/>
  <c r="H19" i="34"/>
  <c r="H40" i="35"/>
  <c r="H30"/>
  <c r="H41"/>
  <c r="H38"/>
  <c r="H27"/>
  <c r="H44"/>
  <c r="H33"/>
  <c r="X31"/>
  <c r="X42"/>
  <c r="W38"/>
  <c r="W27"/>
  <c r="W28"/>
  <c r="W39"/>
  <c r="W30"/>
  <c r="W41"/>
  <c r="W42"/>
  <c r="W31"/>
  <c r="X27"/>
  <c r="X38"/>
  <c r="X39"/>
  <c r="X28"/>
  <c r="X41"/>
  <c r="X30"/>
  <c r="F40"/>
  <c r="G29"/>
  <c r="G40"/>
  <c r="F29"/>
  <c r="W44"/>
  <c r="W33"/>
  <c r="W34"/>
  <c r="W45"/>
  <c r="X43"/>
  <c r="X32"/>
  <c r="X29"/>
  <c r="X40"/>
  <c r="X33"/>
  <c r="X44"/>
  <c r="X45"/>
  <c r="X34"/>
  <c r="W32"/>
  <c r="W43"/>
  <c r="W40"/>
  <c r="W29"/>
  <c r="F30"/>
  <c r="F41"/>
  <c r="G43"/>
  <c r="G32"/>
  <c r="R51"/>
  <c r="Q69"/>
  <c r="Q68"/>
  <c r="Q67"/>
  <c r="Q66"/>
  <c r="Q65"/>
  <c r="Q62"/>
  <c r="Q61"/>
  <c r="Q57"/>
  <c r="Q56"/>
  <c r="Q55"/>
  <c r="Q54"/>
  <c r="Q53"/>
  <c r="G42"/>
  <c r="G5" i="33"/>
  <c r="F5"/>
  <c r="F5" i="32"/>
  <c r="F19" i="34"/>
  <c r="H19" i="33"/>
  <c r="F5" i="34"/>
  <c r="F71" i="30"/>
  <c r="G71"/>
  <c r="D46" i="34"/>
  <c r="R49"/>
  <c r="Q67"/>
  <c r="Q66"/>
  <c r="Q65"/>
  <c r="Q64"/>
  <c r="Q63"/>
  <c r="Q59"/>
  <c r="Q55"/>
  <c r="Q54"/>
  <c r="Q53"/>
  <c r="Q52"/>
  <c r="Q51"/>
  <c r="R49" i="33"/>
  <c r="Q67"/>
  <c r="Q66"/>
  <c r="Q65"/>
  <c r="Q64"/>
  <c r="Q63"/>
  <c r="Q59"/>
  <c r="Q55"/>
  <c r="Q54"/>
  <c r="Q53"/>
  <c r="Q52"/>
  <c r="Q51"/>
  <c r="H70" i="32"/>
  <c r="F70"/>
  <c r="G70"/>
  <c r="F19"/>
  <c r="G5"/>
  <c r="R49"/>
  <c r="Q70"/>
  <c r="Q69"/>
  <c r="Q68"/>
  <c r="Q67"/>
  <c r="Q66"/>
  <c r="Q65"/>
  <c r="Q64"/>
  <c r="Q63"/>
  <c r="Q59"/>
  <c r="Q56"/>
  <c r="Q55"/>
  <c r="Q54"/>
  <c r="Q53"/>
  <c r="Q52"/>
  <c r="Q51"/>
  <c r="G70" i="30"/>
  <c r="H70"/>
  <c r="F70"/>
  <c r="R69" i="35" l="1"/>
  <c r="R68"/>
  <c r="R67"/>
  <c r="R66"/>
  <c r="R65"/>
  <c r="R62"/>
  <c r="R61"/>
  <c r="R57"/>
  <c r="R56"/>
  <c r="R55"/>
  <c r="R54"/>
  <c r="R53"/>
  <c r="S51"/>
  <c r="R67" i="34"/>
  <c r="R66"/>
  <c r="R65"/>
  <c r="R64"/>
  <c r="R63"/>
  <c r="R59"/>
  <c r="R55"/>
  <c r="R54"/>
  <c r="R53"/>
  <c r="R52"/>
  <c r="R51"/>
  <c r="S49"/>
  <c r="R67" i="33"/>
  <c r="R66"/>
  <c r="R65"/>
  <c r="R64"/>
  <c r="R63"/>
  <c r="R59"/>
  <c r="R55"/>
  <c r="R54"/>
  <c r="R53"/>
  <c r="R52"/>
  <c r="R51"/>
  <c r="S49"/>
  <c r="R70" i="32"/>
  <c r="R69"/>
  <c r="R68"/>
  <c r="R67"/>
  <c r="R66"/>
  <c r="R65"/>
  <c r="R64"/>
  <c r="R63"/>
  <c r="R59"/>
  <c r="R56"/>
  <c r="R55"/>
  <c r="R54"/>
  <c r="R53"/>
  <c r="R52"/>
  <c r="R51"/>
  <c r="S49"/>
  <c r="T51" i="35" l="1"/>
  <c r="S69"/>
  <c r="S68"/>
  <c r="S67"/>
  <c r="S66"/>
  <c r="S65"/>
  <c r="S62"/>
  <c r="S61"/>
  <c r="S57"/>
  <c r="S56"/>
  <c r="S55"/>
  <c r="S54"/>
  <c r="S53"/>
  <c r="T49" i="34"/>
  <c r="S67"/>
  <c r="S66"/>
  <c r="S65"/>
  <c r="S64"/>
  <c r="S63"/>
  <c r="S59"/>
  <c r="S55"/>
  <c r="S54"/>
  <c r="S53"/>
  <c r="S52"/>
  <c r="S51"/>
  <c r="T49" i="33"/>
  <c r="S67"/>
  <c r="S66"/>
  <c r="S65"/>
  <c r="S64"/>
  <c r="S63"/>
  <c r="S59"/>
  <c r="S55"/>
  <c r="S54"/>
  <c r="S53"/>
  <c r="S52"/>
  <c r="S51"/>
  <c r="T49" i="32"/>
  <c r="S70"/>
  <c r="S69"/>
  <c r="S68"/>
  <c r="S67"/>
  <c r="S66"/>
  <c r="S65"/>
  <c r="S64"/>
  <c r="S63"/>
  <c r="S59"/>
  <c r="S56"/>
  <c r="S55"/>
  <c r="S54"/>
  <c r="S53"/>
  <c r="S52"/>
  <c r="S51"/>
  <c r="T69" i="35" l="1"/>
  <c r="T68"/>
  <c r="T67"/>
  <c r="T66"/>
  <c r="T65"/>
  <c r="T62"/>
  <c r="T61"/>
  <c r="T57"/>
  <c r="T56"/>
  <c r="T55"/>
  <c r="T54"/>
  <c r="T53"/>
  <c r="U51"/>
  <c r="T67" i="34"/>
  <c r="T66"/>
  <c r="T65"/>
  <c r="T64"/>
  <c r="T63"/>
  <c r="T59"/>
  <c r="T55"/>
  <c r="T54"/>
  <c r="T53"/>
  <c r="T52"/>
  <c r="T51"/>
  <c r="U49"/>
  <c r="T67" i="33"/>
  <c r="T66"/>
  <c r="T65"/>
  <c r="T64"/>
  <c r="T63"/>
  <c r="T59"/>
  <c r="T55"/>
  <c r="T54"/>
  <c r="T53"/>
  <c r="T52"/>
  <c r="T51"/>
  <c r="U49"/>
  <c r="T70" i="32"/>
  <c r="T69"/>
  <c r="T68"/>
  <c r="T67"/>
  <c r="T66"/>
  <c r="T65"/>
  <c r="T64"/>
  <c r="T63"/>
  <c r="T59"/>
  <c r="T56"/>
  <c r="T55"/>
  <c r="T54"/>
  <c r="T53"/>
  <c r="T52"/>
  <c r="T51"/>
  <c r="U49"/>
  <c r="V51" i="35" l="1"/>
  <c r="U69"/>
  <c r="U68"/>
  <c r="U67"/>
  <c r="U66"/>
  <c r="U65"/>
  <c r="U62"/>
  <c r="U61"/>
  <c r="U57"/>
  <c r="U56"/>
  <c r="U55"/>
  <c r="U54"/>
  <c r="U53"/>
  <c r="V49" i="34"/>
  <c r="U67"/>
  <c r="U66"/>
  <c r="U65"/>
  <c r="U64"/>
  <c r="U63"/>
  <c r="U59"/>
  <c r="U55"/>
  <c r="U54"/>
  <c r="U53"/>
  <c r="U52"/>
  <c r="U51"/>
  <c r="V49" i="33"/>
  <c r="U67"/>
  <c r="U66"/>
  <c r="U65"/>
  <c r="U64"/>
  <c r="U63"/>
  <c r="U59"/>
  <c r="U55"/>
  <c r="U54"/>
  <c r="U53"/>
  <c r="U52"/>
  <c r="U51"/>
  <c r="V49" i="32"/>
  <c r="U70"/>
  <c r="U69"/>
  <c r="U68"/>
  <c r="U67"/>
  <c r="U66"/>
  <c r="U65"/>
  <c r="U64"/>
  <c r="U63"/>
  <c r="U59"/>
  <c r="U56"/>
  <c r="U55"/>
  <c r="U54"/>
  <c r="U53"/>
  <c r="U52"/>
  <c r="U51"/>
  <c r="V69" i="35" l="1"/>
  <c r="V68"/>
  <c r="V67"/>
  <c r="V66"/>
  <c r="V65"/>
  <c r="V62"/>
  <c r="V61"/>
  <c r="V57"/>
  <c r="V56"/>
  <c r="V55"/>
  <c r="V54"/>
  <c r="V53"/>
  <c r="W51"/>
  <c r="V67" i="34"/>
  <c r="V66"/>
  <c r="V65"/>
  <c r="V64"/>
  <c r="V63"/>
  <c r="V59"/>
  <c r="V55"/>
  <c r="V54"/>
  <c r="V53"/>
  <c r="V52"/>
  <c r="V51"/>
  <c r="W49"/>
  <c r="V67" i="33"/>
  <c r="V66"/>
  <c r="V65"/>
  <c r="V64"/>
  <c r="V63"/>
  <c r="V59"/>
  <c r="V55"/>
  <c r="V54"/>
  <c r="V53"/>
  <c r="V52"/>
  <c r="V51"/>
  <c r="W49"/>
  <c r="V70" i="32"/>
  <c r="V69"/>
  <c r="V68"/>
  <c r="V67"/>
  <c r="V66"/>
  <c r="V65"/>
  <c r="V64"/>
  <c r="V63"/>
  <c r="V59"/>
  <c r="V56"/>
  <c r="V55"/>
  <c r="V54"/>
  <c r="V53"/>
  <c r="V52"/>
  <c r="V51"/>
  <c r="W49"/>
  <c r="X51" i="35" l="1"/>
  <c r="W69"/>
  <c r="W68"/>
  <c r="W67"/>
  <c r="W66"/>
  <c r="W65"/>
  <c r="W62"/>
  <c r="W61"/>
  <c r="W57"/>
  <c r="W56"/>
  <c r="W55"/>
  <c r="W54"/>
  <c r="W53"/>
  <c r="X49" i="34"/>
  <c r="W67"/>
  <c r="W66"/>
  <c r="W65"/>
  <c r="W64"/>
  <c r="W63"/>
  <c r="W59"/>
  <c r="W55"/>
  <c r="W54"/>
  <c r="W53"/>
  <c r="W52"/>
  <c r="W51"/>
  <c r="X49" i="33"/>
  <c r="W67"/>
  <c r="W66"/>
  <c r="W65"/>
  <c r="W64"/>
  <c r="W63"/>
  <c r="W59"/>
  <c r="W55"/>
  <c r="W54"/>
  <c r="W53"/>
  <c r="W52"/>
  <c r="W51"/>
  <c r="X49" i="32"/>
  <c r="W70"/>
  <c r="W69"/>
  <c r="W68"/>
  <c r="W67"/>
  <c r="W66"/>
  <c r="W65"/>
  <c r="W64"/>
  <c r="W63"/>
  <c r="W59"/>
  <c r="W56"/>
  <c r="W55"/>
  <c r="W54"/>
  <c r="W53"/>
  <c r="W52"/>
  <c r="W51"/>
  <c r="X69" i="35" l="1"/>
  <c r="X68"/>
  <c r="X67"/>
  <c r="X66"/>
  <c r="X65"/>
  <c r="X62"/>
  <c r="X61"/>
  <c r="X57"/>
  <c r="X56"/>
  <c r="X55"/>
  <c r="X54"/>
  <c r="X53"/>
  <c r="Y51"/>
  <c r="X67" i="34"/>
  <c r="X66"/>
  <c r="X65"/>
  <c r="X64"/>
  <c r="X63"/>
  <c r="X59"/>
  <c r="X55"/>
  <c r="X54"/>
  <c r="X53"/>
  <c r="X52"/>
  <c r="X51"/>
  <c r="Y49"/>
  <c r="X67" i="33"/>
  <c r="X66"/>
  <c r="X65"/>
  <c r="X64"/>
  <c r="X63"/>
  <c r="X59"/>
  <c r="X55"/>
  <c r="X54"/>
  <c r="X53"/>
  <c r="X52"/>
  <c r="X51"/>
  <c r="Y49"/>
  <c r="X70" i="32"/>
  <c r="X69"/>
  <c r="X68"/>
  <c r="X67"/>
  <c r="X66"/>
  <c r="X65"/>
  <c r="X64"/>
  <c r="X63"/>
  <c r="X59"/>
  <c r="X56"/>
  <c r="X55"/>
  <c r="X54"/>
  <c r="X53"/>
  <c r="X52"/>
  <c r="X51"/>
  <c r="Y49"/>
  <c r="Y69" i="35" l="1"/>
  <c r="J69" s="1"/>
  <c r="Y68"/>
  <c r="J68" s="1"/>
  <c r="Y67"/>
  <c r="J67" s="1"/>
  <c r="Y66"/>
  <c r="J66" s="1"/>
  <c r="Y65"/>
  <c r="J65" s="1"/>
  <c r="Y62"/>
  <c r="J62" s="1"/>
  <c r="Y61"/>
  <c r="J61" s="1"/>
  <c r="Y57"/>
  <c r="J57" s="1"/>
  <c r="Y56"/>
  <c r="J56" s="1"/>
  <c r="Y55"/>
  <c r="J55" s="1"/>
  <c r="Y54"/>
  <c r="J54" s="1"/>
  <c r="Y53"/>
  <c r="J53" s="1"/>
  <c r="Y67" i="34"/>
  <c r="J67" s="1"/>
  <c r="Y66"/>
  <c r="J66" s="1"/>
  <c r="Y65"/>
  <c r="J65" s="1"/>
  <c r="Y64"/>
  <c r="J64" s="1"/>
  <c r="Y63"/>
  <c r="J63" s="1"/>
  <c r="Y59"/>
  <c r="J59" s="1"/>
  <c r="Y55"/>
  <c r="J55" s="1"/>
  <c r="Y54"/>
  <c r="J54" s="1"/>
  <c r="Y53"/>
  <c r="J53" s="1"/>
  <c r="Y52"/>
  <c r="J52" s="1"/>
  <c r="Y51"/>
  <c r="J51" s="1"/>
  <c r="Y67" i="33"/>
  <c r="J67" s="1"/>
  <c r="Y66"/>
  <c r="J66" s="1"/>
  <c r="Y65"/>
  <c r="J65" s="1"/>
  <c r="Y64"/>
  <c r="J64" s="1"/>
  <c r="Y63"/>
  <c r="J63" s="1"/>
  <c r="Y59"/>
  <c r="J59" s="1"/>
  <c r="Y55"/>
  <c r="J55" s="1"/>
  <c r="Y54"/>
  <c r="J54" s="1"/>
  <c r="Y53"/>
  <c r="J53" s="1"/>
  <c r="Y52"/>
  <c r="J52" s="1"/>
  <c r="Y51"/>
  <c r="J51" s="1"/>
  <c r="Y70" i="32"/>
  <c r="J70" s="1"/>
  <c r="Y69"/>
  <c r="J69" s="1"/>
  <c r="Y68"/>
  <c r="J68" s="1"/>
  <c r="Y67"/>
  <c r="J67" s="1"/>
  <c r="Y66"/>
  <c r="J66" s="1"/>
  <c r="Y65"/>
  <c r="J65" s="1"/>
  <c r="Y64"/>
  <c r="J64" s="1"/>
  <c r="Y63"/>
  <c r="J63" s="1"/>
  <c r="Y59"/>
  <c r="J59" s="1"/>
  <c r="Y56"/>
  <c r="J56" s="1"/>
  <c r="Y55"/>
  <c r="J55" s="1"/>
  <c r="Y54"/>
  <c r="J54" s="1"/>
  <c r="Y53"/>
  <c r="J53" s="1"/>
  <c r="Y52"/>
  <c r="J52" s="1"/>
  <c r="Y51"/>
  <c r="J51" s="1"/>
  <c r="AX28" i="23" l="1"/>
  <c r="AY28" s="1"/>
  <c r="AZ28"/>
  <c r="BA28" s="1"/>
  <c r="BB28"/>
  <c r="BC28" s="1"/>
  <c r="BD28"/>
  <c r="BE28"/>
  <c r="BF28"/>
  <c r="CK28"/>
  <c r="AX13"/>
  <c r="AY13" s="1"/>
  <c r="AZ13"/>
  <c r="BA13" s="1"/>
  <c r="BB13"/>
  <c r="BC13" s="1"/>
  <c r="BD13"/>
  <c r="BE13"/>
  <c r="BF13"/>
  <c r="AX14"/>
  <c r="AY14" s="1"/>
  <c r="AZ14"/>
  <c r="BA14" s="1"/>
  <c r="BD14"/>
  <c r="BE14"/>
  <c r="BF14"/>
  <c r="AX15"/>
  <c r="AY15" s="1"/>
  <c r="AZ15"/>
  <c r="BA15" s="1"/>
  <c r="BB15"/>
  <c r="BC15" s="1"/>
  <c r="BD15"/>
  <c r="BE15"/>
  <c r="BF15"/>
  <c r="AX16"/>
  <c r="AY16" s="1"/>
  <c r="AZ16"/>
  <c r="BA16" s="1"/>
  <c r="BD16"/>
  <c r="BE16"/>
  <c r="BF16"/>
  <c r="CK16"/>
  <c r="AX17"/>
  <c r="AY17" s="1"/>
  <c r="AZ17"/>
  <c r="BA17" s="1"/>
  <c r="BB17"/>
  <c r="BC17" s="1"/>
  <c r="BD17"/>
  <c r="BE17"/>
  <c r="BF17"/>
  <c r="AX18"/>
  <c r="AY18" s="1"/>
  <c r="AZ18"/>
  <c r="BA18" s="1"/>
  <c r="BD18"/>
  <c r="BE18"/>
  <c r="BF18"/>
  <c r="AX19"/>
  <c r="AY19" s="1"/>
  <c r="AZ19"/>
  <c r="BA19" s="1"/>
  <c r="BB19"/>
  <c r="BC19" s="1"/>
  <c r="BD19"/>
  <c r="BE19"/>
  <c r="BF19"/>
  <c r="CK19"/>
  <c r="C28"/>
  <c r="C13"/>
  <c r="C14"/>
  <c r="C15"/>
  <c r="C16"/>
  <c r="C17"/>
  <c r="C18"/>
  <c r="C19"/>
  <c r="AQ14" i="22"/>
  <c r="AR14" s="1"/>
  <c r="AS14"/>
  <c r="AT14" s="1"/>
  <c r="AW14"/>
  <c r="AX14"/>
  <c r="AY14"/>
  <c r="AZ14"/>
  <c r="BA14"/>
  <c r="BB14"/>
  <c r="BC14"/>
  <c r="BD14"/>
  <c r="BE14"/>
  <c r="BF14"/>
  <c r="BG14"/>
  <c r="BH14"/>
  <c r="BI14"/>
  <c r="BJ14"/>
  <c r="BK14"/>
  <c r="BL14"/>
  <c r="BM14"/>
  <c r="BN14"/>
  <c r="BO14"/>
  <c r="BP14"/>
  <c r="BQ14"/>
  <c r="AQ19"/>
  <c r="AR19" s="1"/>
  <c r="AS19"/>
  <c r="AT19" s="1"/>
  <c r="AU19"/>
  <c r="AV19" s="1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P19"/>
  <c r="BQ19"/>
  <c r="AQ49"/>
  <c r="AR49" s="1"/>
  <c r="AS49"/>
  <c r="AT49" s="1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BP49"/>
  <c r="BQ49"/>
  <c r="CP49"/>
  <c r="AQ13"/>
  <c r="AR13" s="1"/>
  <c r="AS13"/>
  <c r="AT13" s="1"/>
  <c r="AU13"/>
  <c r="AV13" s="1"/>
  <c r="AW13"/>
  <c r="AX13"/>
  <c r="AY13"/>
  <c r="AZ13"/>
  <c r="BA13"/>
  <c r="BB13"/>
  <c r="BC13"/>
  <c r="BD13"/>
  <c r="BE13"/>
  <c r="BF13"/>
  <c r="BG13"/>
  <c r="BH13"/>
  <c r="BI13"/>
  <c r="BJ13"/>
  <c r="BK13"/>
  <c r="BL13"/>
  <c r="BM13"/>
  <c r="BN13"/>
  <c r="BO13"/>
  <c r="BP13"/>
  <c r="BQ13"/>
  <c r="AQ33"/>
  <c r="AR33" s="1"/>
  <c r="AS33"/>
  <c r="AT33" s="1"/>
  <c r="AU33"/>
  <c r="AV33" s="1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CQ33"/>
  <c r="CP33"/>
  <c r="CR33"/>
  <c r="AQ50"/>
  <c r="AR50" s="1"/>
  <c r="AS50"/>
  <c r="AT50" s="1"/>
  <c r="AU50"/>
  <c r="AV50" s="1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AQ51"/>
  <c r="AR51" s="1"/>
  <c r="AS51"/>
  <c r="AT51" s="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AQ54"/>
  <c r="AR54" s="1"/>
  <c r="AS54"/>
  <c r="AT54" s="1"/>
  <c r="AW54"/>
  <c r="AX54"/>
  <c r="AY54"/>
  <c r="AZ54"/>
  <c r="BA54"/>
  <c r="BB54"/>
  <c r="BC54"/>
  <c r="BD54"/>
  <c r="BE54"/>
  <c r="BF54"/>
  <c r="BG54"/>
  <c r="BH54"/>
  <c r="BI54"/>
  <c r="BJ54"/>
  <c r="BK54"/>
  <c r="BL54"/>
  <c r="BM54"/>
  <c r="BN54"/>
  <c r="BO54"/>
  <c r="BP54"/>
  <c r="BQ54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C14"/>
  <c r="E14"/>
  <c r="D19"/>
  <c r="E19"/>
  <c r="C49"/>
  <c r="E49"/>
  <c r="D13"/>
  <c r="E13"/>
  <c r="C33"/>
  <c r="E33"/>
  <c r="D50"/>
  <c r="E50"/>
  <c r="C51"/>
  <c r="E51"/>
  <c r="C54"/>
  <c r="E54"/>
  <c r="D36"/>
  <c r="E36"/>
  <c r="C36" l="1"/>
  <c r="AU54"/>
  <c r="AV54" s="1"/>
  <c r="AU51"/>
  <c r="AV51" s="1"/>
  <c r="C50"/>
  <c r="D33"/>
  <c r="C13"/>
  <c r="AU49"/>
  <c r="AV49" s="1"/>
  <c r="C19"/>
  <c r="D14"/>
  <c r="D54"/>
  <c r="D51"/>
  <c r="D49"/>
  <c r="CK17" i="23"/>
  <c r="CK15"/>
  <c r="AU14" i="22"/>
  <c r="AV14" s="1"/>
  <c r="CP13"/>
  <c r="CP19"/>
  <c r="CR19"/>
  <c r="CK14" i="23"/>
  <c r="CK13"/>
  <c r="CK18"/>
  <c r="CP36" i="22"/>
  <c r="CP54"/>
  <c r="CP14"/>
  <c r="CS19"/>
  <c r="CR14"/>
  <c r="CR49"/>
  <c r="CQ13"/>
  <c r="CP50"/>
  <c r="CS49"/>
  <c r="CQ49"/>
  <c r="CQ14"/>
  <c r="CP51"/>
  <c r="CS13"/>
  <c r="CR13"/>
  <c r="CQ19"/>
  <c r="CS51"/>
  <c r="CS50"/>
  <c r="CR50"/>
  <c r="CS33"/>
  <c r="CT33" s="1"/>
  <c r="CQ51"/>
  <c r="CQ50"/>
  <c r="CR51"/>
  <c r="CS14"/>
  <c r="BB18" i="23"/>
  <c r="BC18" s="1"/>
  <c r="BB16"/>
  <c r="BC16" s="1"/>
  <c r="BB14"/>
  <c r="BC14" s="1"/>
  <c r="CR54" i="22"/>
  <c r="CS36"/>
  <c r="CR36"/>
  <c r="CQ36"/>
  <c r="CT51"/>
  <c r="CS54"/>
  <c r="CQ54"/>
  <c r="CT49" l="1"/>
  <c r="CT19"/>
  <c r="CT13"/>
  <c r="CT14"/>
  <c r="CT50"/>
  <c r="CT36"/>
  <c r="CT54"/>
  <c r="G62" i="7" l="1"/>
  <c r="H62" s="1"/>
  <c r="I62" s="1"/>
  <c r="J62" s="1"/>
  <c r="K62" s="1"/>
  <c r="L62" s="1"/>
  <c r="M62" s="1"/>
  <c r="N62" s="1"/>
  <c r="O62" s="1"/>
  <c r="G60"/>
  <c r="H60" s="1"/>
  <c r="I60" s="1"/>
  <c r="J60" s="1"/>
  <c r="K60" s="1"/>
  <c r="L60" s="1"/>
  <c r="M60" s="1"/>
  <c r="N60" s="1"/>
  <c r="O60" s="1"/>
  <c r="F59" l="1"/>
  <c r="F63"/>
  <c r="D17" i="26"/>
  <c r="AX59" i="6"/>
  <c r="AY59" s="1"/>
  <c r="AZ59"/>
  <c r="BA59" s="1"/>
  <c r="BD59"/>
  <c r="BE59"/>
  <c r="BF59"/>
  <c r="BG59"/>
  <c r="BH59"/>
  <c r="BI59"/>
  <c r="BJ59"/>
  <c r="BK59"/>
  <c r="BL59"/>
  <c r="BM59"/>
  <c r="AX25"/>
  <c r="AZ25"/>
  <c r="BD25"/>
  <c r="BE25"/>
  <c r="BF25"/>
  <c r="BG25"/>
  <c r="BH25"/>
  <c r="BI25"/>
  <c r="BJ25"/>
  <c r="BK25"/>
  <c r="BL25"/>
  <c r="BM25"/>
  <c r="C25"/>
  <c r="C59"/>
  <c r="BB59" l="1"/>
  <c r="BC59" s="1"/>
  <c r="AY25"/>
  <c r="BA25"/>
  <c r="BN25"/>
  <c r="BN59"/>
  <c r="BB25"/>
  <c r="BC25" s="1"/>
  <c r="AX30" l="1"/>
  <c r="AZ30"/>
  <c r="BD30"/>
  <c r="BE30"/>
  <c r="BF30"/>
  <c r="BG30"/>
  <c r="BH30"/>
  <c r="BI30"/>
  <c r="BJ30"/>
  <c r="BK30"/>
  <c r="BL30"/>
  <c r="BM30"/>
  <c r="C30"/>
  <c r="AX70"/>
  <c r="AY70" s="1"/>
  <c r="AZ70"/>
  <c r="BA70" s="1"/>
  <c r="BD70"/>
  <c r="BE70"/>
  <c r="BF70"/>
  <c r="BG70"/>
  <c r="BH70"/>
  <c r="BI70"/>
  <c r="BJ70"/>
  <c r="BK70"/>
  <c r="BL70"/>
  <c r="BM70"/>
  <c r="AX72"/>
  <c r="AZ72"/>
  <c r="BD72"/>
  <c r="BE72"/>
  <c r="BF72"/>
  <c r="BG72"/>
  <c r="BH72"/>
  <c r="BI72"/>
  <c r="BJ72"/>
  <c r="BK72"/>
  <c r="BL72"/>
  <c r="BM72"/>
  <c r="C70"/>
  <c r="C72"/>
  <c r="E31" i="5"/>
  <c r="E43"/>
  <c r="E52"/>
  <c r="E49"/>
  <c r="E48"/>
  <c r="E44"/>
  <c r="E22"/>
  <c r="AQ31"/>
  <c r="AR31" s="1"/>
  <c r="AS31"/>
  <c r="AT31" s="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S31"/>
  <c r="BT31"/>
  <c r="BU31"/>
  <c r="BV31"/>
  <c r="BW31"/>
  <c r="BX31"/>
  <c r="BY31"/>
  <c r="BZ31"/>
  <c r="CB31"/>
  <c r="CC31"/>
  <c r="CD31"/>
  <c r="CE31"/>
  <c r="AQ43"/>
  <c r="AR43" s="1"/>
  <c r="AS43"/>
  <c r="AT43" s="1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S43"/>
  <c r="BT43"/>
  <c r="BU43"/>
  <c r="BV43"/>
  <c r="BW43"/>
  <c r="BX43"/>
  <c r="BY43"/>
  <c r="BZ43"/>
  <c r="CB43"/>
  <c r="CC43"/>
  <c r="CD43"/>
  <c r="CE43"/>
  <c r="AQ52"/>
  <c r="AR52" s="1"/>
  <c r="AS52"/>
  <c r="AT52" s="1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BN52"/>
  <c r="BO52"/>
  <c r="BP52"/>
  <c r="BQ52"/>
  <c r="BS52"/>
  <c r="BT52"/>
  <c r="BU52"/>
  <c r="BV52"/>
  <c r="BW52"/>
  <c r="BX52"/>
  <c r="BY52"/>
  <c r="BZ52"/>
  <c r="CB52"/>
  <c r="CC52"/>
  <c r="CD52"/>
  <c r="CE52"/>
  <c r="AQ49"/>
  <c r="AR49" s="1"/>
  <c r="AS49"/>
  <c r="AT49" s="1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BP49"/>
  <c r="BQ49"/>
  <c r="BS49"/>
  <c r="BT49"/>
  <c r="BU49"/>
  <c r="BV49"/>
  <c r="BW49"/>
  <c r="BX49"/>
  <c r="BY49"/>
  <c r="BZ49"/>
  <c r="CB49"/>
  <c r="CC49"/>
  <c r="CD49"/>
  <c r="CE49"/>
  <c r="AQ48"/>
  <c r="AR48" s="1"/>
  <c r="AS48"/>
  <c r="AT48" s="1"/>
  <c r="AW48"/>
  <c r="AX48"/>
  <c r="AY48"/>
  <c r="AZ48"/>
  <c r="BA48"/>
  <c r="BB48"/>
  <c r="BC48"/>
  <c r="BD48"/>
  <c r="BE48"/>
  <c r="BF48"/>
  <c r="BG48"/>
  <c r="BH48"/>
  <c r="BI48"/>
  <c r="BJ48"/>
  <c r="BK48"/>
  <c r="BL48"/>
  <c r="BM48"/>
  <c r="BN48"/>
  <c r="BO48"/>
  <c r="BP48"/>
  <c r="BQ48"/>
  <c r="BS48"/>
  <c r="BT48"/>
  <c r="BU48"/>
  <c r="BV48"/>
  <c r="BW48"/>
  <c r="BX48"/>
  <c r="BY48"/>
  <c r="BZ48"/>
  <c r="CB48"/>
  <c r="CC48"/>
  <c r="CD48"/>
  <c r="CE48"/>
  <c r="AQ44"/>
  <c r="AR44" s="1"/>
  <c r="AS44"/>
  <c r="AT44" s="1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S44"/>
  <c r="BT44"/>
  <c r="BU44"/>
  <c r="BV44"/>
  <c r="BW44"/>
  <c r="BX44"/>
  <c r="BY44"/>
  <c r="BZ44"/>
  <c r="CB44"/>
  <c r="CC44"/>
  <c r="CD44"/>
  <c r="CE44"/>
  <c r="AQ22"/>
  <c r="AR22" s="1"/>
  <c r="AS22"/>
  <c r="AT22" s="1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BN22"/>
  <c r="BO22"/>
  <c r="BP22"/>
  <c r="BQ22"/>
  <c r="BS22"/>
  <c r="BT22"/>
  <c r="BU22"/>
  <c r="BV22"/>
  <c r="BW22"/>
  <c r="BX22"/>
  <c r="BY22"/>
  <c r="BZ22"/>
  <c r="CB22"/>
  <c r="CC22"/>
  <c r="CD22"/>
  <c r="CE22"/>
  <c r="C52" i="7"/>
  <c r="D52" s="1"/>
  <c r="E52" s="1"/>
  <c r="F52" s="1"/>
  <c r="G52" s="1"/>
  <c r="H52" s="1"/>
  <c r="I52" s="1"/>
  <c r="J52" s="1"/>
  <c r="K52" s="1"/>
  <c r="L52" s="1"/>
  <c r="M52" s="1"/>
  <c r="N52" s="1"/>
  <c r="O52" s="1"/>
  <c r="AX47" i="6"/>
  <c r="AY47" s="1"/>
  <c r="AZ47"/>
  <c r="BA47" s="1"/>
  <c r="BD47"/>
  <c r="BE47"/>
  <c r="BF47"/>
  <c r="BG47"/>
  <c r="BH47"/>
  <c r="BI47"/>
  <c r="BJ47"/>
  <c r="BK47"/>
  <c r="BL47"/>
  <c r="BM47"/>
  <c r="AX41"/>
  <c r="AY41" s="1"/>
  <c r="AZ41"/>
  <c r="BA41" s="1"/>
  <c r="BD41"/>
  <c r="BE41"/>
  <c r="BF41"/>
  <c r="BG41"/>
  <c r="BH41"/>
  <c r="BI41"/>
  <c r="BJ41"/>
  <c r="BK41"/>
  <c r="BL41"/>
  <c r="BM41"/>
  <c r="AX45"/>
  <c r="AZ45"/>
  <c r="BD45"/>
  <c r="BE45"/>
  <c r="BF45"/>
  <c r="BG45"/>
  <c r="BH45"/>
  <c r="BI45"/>
  <c r="BJ45"/>
  <c r="BK45"/>
  <c r="BL45"/>
  <c r="BM45"/>
  <c r="C47"/>
  <c r="C41"/>
  <c r="C45"/>
  <c r="AX74" i="23"/>
  <c r="AY74" s="1"/>
  <c r="AZ74"/>
  <c r="BA74" s="1"/>
  <c r="BB74"/>
  <c r="BC74" s="1"/>
  <c r="BD74"/>
  <c r="BE74"/>
  <c r="BF74"/>
  <c r="AX27"/>
  <c r="AY27" s="1"/>
  <c r="AZ27"/>
  <c r="BA27" s="1"/>
  <c r="BB27"/>
  <c r="BC27" s="1"/>
  <c r="BD27"/>
  <c r="BE27"/>
  <c r="BF27"/>
  <c r="AX75"/>
  <c r="AY75" s="1"/>
  <c r="AZ75"/>
  <c r="BA75" s="1"/>
  <c r="BB75"/>
  <c r="BC75" s="1"/>
  <c r="BD75"/>
  <c r="BE75"/>
  <c r="BF75"/>
  <c r="AX76"/>
  <c r="AY76" s="1"/>
  <c r="AZ76"/>
  <c r="BA76" s="1"/>
  <c r="BB76"/>
  <c r="BC76" s="1"/>
  <c r="BD76"/>
  <c r="BE76"/>
  <c r="BF76"/>
  <c r="AX12"/>
  <c r="AY12" s="1"/>
  <c r="AZ12"/>
  <c r="BA12" s="1"/>
  <c r="BB12"/>
  <c r="BC12" s="1"/>
  <c r="BD12"/>
  <c r="BE12"/>
  <c r="BF12"/>
  <c r="C74"/>
  <c r="C27"/>
  <c r="C75"/>
  <c r="C76"/>
  <c r="C12"/>
  <c r="AX80" i="6"/>
  <c r="AZ80"/>
  <c r="BD80"/>
  <c r="BE80"/>
  <c r="BF80"/>
  <c r="BG80"/>
  <c r="BH80"/>
  <c r="BI80"/>
  <c r="BJ80"/>
  <c r="BK80"/>
  <c r="BL80"/>
  <c r="BM80"/>
  <c r="C80"/>
  <c r="AX34"/>
  <c r="AY34" s="1"/>
  <c r="AZ34"/>
  <c r="BA34" s="1"/>
  <c r="BD34"/>
  <c r="BE34"/>
  <c r="BF34"/>
  <c r="BG34"/>
  <c r="BH34"/>
  <c r="BI34"/>
  <c r="BJ34"/>
  <c r="BK34"/>
  <c r="BL34"/>
  <c r="BM34"/>
  <c r="C34"/>
  <c r="AY30" l="1"/>
  <c r="BA30"/>
  <c r="BA80"/>
  <c r="AY80"/>
  <c r="AY45"/>
  <c r="AC59" i="30"/>
  <c r="BA72" i="6"/>
  <c r="AG64" i="30"/>
  <c r="BA45" i="6"/>
  <c r="AG59" i="30"/>
  <c r="AY72" i="6"/>
  <c r="AC64" i="30"/>
  <c r="AU31" i="5"/>
  <c r="AV31" s="1"/>
  <c r="BB70" i="6"/>
  <c r="BC70" s="1"/>
  <c r="BB30"/>
  <c r="BC30" s="1"/>
  <c r="BN30"/>
  <c r="AU49" i="5"/>
  <c r="AV49" s="1"/>
  <c r="AU44"/>
  <c r="AV44" s="1"/>
  <c r="AU43"/>
  <c r="AV43" s="1"/>
  <c r="BN72" i="6"/>
  <c r="D22" i="5"/>
  <c r="C44"/>
  <c r="D48"/>
  <c r="C49"/>
  <c r="D52"/>
  <c r="C43"/>
  <c r="D31"/>
  <c r="CA22"/>
  <c r="C22"/>
  <c r="AU22"/>
  <c r="AV22" s="1"/>
  <c r="D44"/>
  <c r="CA48"/>
  <c r="C48"/>
  <c r="AU48"/>
  <c r="AV48" s="1"/>
  <c r="D49"/>
  <c r="CA52"/>
  <c r="C52"/>
  <c r="AU52"/>
  <c r="AV52" s="1"/>
  <c r="D43"/>
  <c r="CA31"/>
  <c r="C31"/>
  <c r="BB80" i="6"/>
  <c r="BC80" s="1"/>
  <c r="BN70"/>
  <c r="BB47"/>
  <c r="BC47" s="1"/>
  <c r="BB72"/>
  <c r="BC72" s="1"/>
  <c r="CA44" i="5"/>
  <c r="CA49"/>
  <c r="CA43"/>
  <c r="BN41" i="6"/>
  <c r="BB45"/>
  <c r="BC45" s="1"/>
  <c r="BN45"/>
  <c r="BN47"/>
  <c r="BB41"/>
  <c r="BC41" s="1"/>
  <c r="CK12" i="23"/>
  <c r="CK76"/>
  <c r="CK75"/>
  <c r="CK27"/>
  <c r="CK74"/>
  <c r="BB34" i="6"/>
  <c r="BC34" s="1"/>
  <c r="BN80"/>
  <c r="BN34"/>
  <c r="H59" i="30" l="1"/>
  <c r="G59"/>
  <c r="F59"/>
  <c r="H64"/>
  <c r="F64"/>
  <c r="G64"/>
  <c r="AX76" i="6"/>
  <c r="AZ76"/>
  <c r="BD76"/>
  <c r="BE76"/>
  <c r="BF76"/>
  <c r="BG76"/>
  <c r="BH76"/>
  <c r="BI76"/>
  <c r="BJ76"/>
  <c r="BK76"/>
  <c r="BL76"/>
  <c r="BM76"/>
  <c r="C76"/>
  <c r="BA76" l="1"/>
  <c r="AY76"/>
  <c r="BB76"/>
  <c r="BC76" s="1"/>
  <c r="BN76"/>
  <c r="E11" i="5" l="1"/>
  <c r="E32"/>
  <c r="E19"/>
  <c r="E42"/>
  <c r="E17"/>
  <c r="E39"/>
  <c r="E28"/>
  <c r="E21"/>
  <c r="E55"/>
  <c r="E45"/>
  <c r="E29"/>
  <c r="E53"/>
  <c r="E36"/>
  <c r="E60"/>
  <c r="E54"/>
  <c r="E27"/>
  <c r="E70"/>
  <c r="E71"/>
  <c r="E20"/>
  <c r="E67"/>
  <c r="E38"/>
  <c r="E30"/>
  <c r="E50"/>
  <c r="E64"/>
  <c r="E63"/>
  <c r="E18"/>
  <c r="E61"/>
  <c r="E24"/>
  <c r="E62"/>
  <c r="E40"/>
  <c r="E41"/>
  <c r="E25"/>
  <c r="E56"/>
  <c r="E46"/>
  <c r="E69"/>
  <c r="E59"/>
  <c r="E33"/>
  <c r="E35"/>
  <c r="E65"/>
  <c r="E58"/>
  <c r="E57"/>
  <c r="E68"/>
  <c r="E66"/>
  <c r="AQ38"/>
  <c r="AR38" s="1"/>
  <c r="AS38"/>
  <c r="AT38" s="1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S38"/>
  <c r="BT38"/>
  <c r="BU38"/>
  <c r="BV38"/>
  <c r="BW38"/>
  <c r="BX38"/>
  <c r="BY38"/>
  <c r="BZ38"/>
  <c r="CB38"/>
  <c r="CC38"/>
  <c r="CD38"/>
  <c r="CE38"/>
  <c r="AU38" l="1"/>
  <c r="AV38" s="1"/>
  <c r="C38"/>
  <c r="D38"/>
  <c r="CA38"/>
  <c r="O34" i="31" l="1"/>
  <c r="N34"/>
  <c r="M34"/>
  <c r="L34"/>
  <c r="K34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J59"/>
  <c r="F59"/>
  <c r="E59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J58"/>
  <c r="F58"/>
  <c r="E58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J57"/>
  <c r="F57"/>
  <c r="E57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J56"/>
  <c r="F56"/>
  <c r="E56"/>
  <c r="AC55"/>
  <c r="AB55"/>
  <c r="AA55"/>
  <c r="O55"/>
  <c r="N55"/>
  <c r="M55"/>
  <c r="L55"/>
  <c r="J55"/>
  <c r="F55"/>
  <c r="E55"/>
  <c r="AC54"/>
  <c r="AB54"/>
  <c r="AA54"/>
  <c r="O54"/>
  <c r="N54"/>
  <c r="M54"/>
  <c r="L54"/>
  <c r="J54"/>
  <c r="F54"/>
  <c r="E54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AC50"/>
  <c r="AB50"/>
  <c r="AA50"/>
  <c r="O50"/>
  <c r="N50"/>
  <c r="M50"/>
  <c r="L50"/>
  <c r="J50"/>
  <c r="F50"/>
  <c r="E50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J47"/>
  <c r="F47"/>
  <c r="E47"/>
  <c r="AC46"/>
  <c r="AB46"/>
  <c r="AA46"/>
  <c r="O46"/>
  <c r="N46"/>
  <c r="M46"/>
  <c r="L46"/>
  <c r="J46"/>
  <c r="F46"/>
  <c r="E46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J45"/>
  <c r="F45"/>
  <c r="E45"/>
  <c r="AC44"/>
  <c r="AB44"/>
  <c r="AA44"/>
  <c r="O44"/>
  <c r="N44"/>
  <c r="M44"/>
  <c r="L44"/>
  <c r="J44"/>
  <c r="I44"/>
  <c r="H44"/>
  <c r="G44"/>
  <c r="F44"/>
  <c r="E44"/>
  <c r="AC43"/>
  <c r="AB43"/>
  <c r="AA43"/>
  <c r="O43"/>
  <c r="N43"/>
  <c r="M43"/>
  <c r="L43"/>
  <c r="J43"/>
  <c r="F43"/>
  <c r="E43"/>
  <c r="AC42"/>
  <c r="AB42"/>
  <c r="AA42"/>
  <c r="O42"/>
  <c r="N42"/>
  <c r="M42"/>
  <c r="L42"/>
  <c r="J42"/>
  <c r="F42"/>
  <c r="E42"/>
  <c r="P40"/>
  <c r="P55" s="1"/>
  <c r="D38"/>
  <c r="D37"/>
  <c r="S34"/>
  <c r="R34"/>
  <c r="Q34"/>
  <c r="P34"/>
  <c r="I34"/>
  <c r="H34"/>
  <c r="G34"/>
  <c r="F34"/>
  <c r="S33"/>
  <c r="R33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AZ23"/>
  <c r="AY23"/>
  <c r="AX23"/>
  <c r="AW23"/>
  <c r="AV23"/>
  <c r="AK23"/>
  <c r="AJ23"/>
  <c r="AI23"/>
  <c r="AH23"/>
  <c r="AG23"/>
  <c r="AF23"/>
  <c r="AE23"/>
  <c r="U23"/>
  <c r="T23"/>
  <c r="S23"/>
  <c r="R23"/>
  <c r="Q23"/>
  <c r="P23"/>
  <c r="O23"/>
  <c r="N23"/>
  <c r="M23"/>
  <c r="L23"/>
  <c r="K23"/>
  <c r="G23" s="1"/>
  <c r="J23"/>
  <c r="I23"/>
  <c r="H23"/>
  <c r="F23"/>
  <c r="E23"/>
  <c r="AZ22"/>
  <c r="AY22"/>
  <c r="AX22"/>
  <c r="AW22"/>
  <c r="AV22"/>
  <c r="BA22" s="1"/>
  <c r="AK22"/>
  <c r="AJ22"/>
  <c r="AI22"/>
  <c r="AH22"/>
  <c r="AG22"/>
  <c r="AF22"/>
  <c r="AE22"/>
  <c r="U22"/>
  <c r="T22"/>
  <c r="S22"/>
  <c r="R22"/>
  <c r="Q22"/>
  <c r="P22"/>
  <c r="O22"/>
  <c r="N22"/>
  <c r="M22"/>
  <c r="L22"/>
  <c r="K22"/>
  <c r="J22"/>
  <c r="I22"/>
  <c r="H22"/>
  <c r="G22"/>
  <c r="F22"/>
  <c r="E22"/>
  <c r="D21"/>
  <c r="BA19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AZ18"/>
  <c r="AY18"/>
  <c r="AX18"/>
  <c r="AW18"/>
  <c r="AV18"/>
  <c r="BA18" s="1"/>
  <c r="AT18"/>
  <c r="AR18"/>
  <c r="AP18"/>
  <c r="AN18"/>
  <c r="AK18"/>
  <c r="AJ18"/>
  <c r="AI18"/>
  <c r="AH18"/>
  <c r="AG18"/>
  <c r="AF18"/>
  <c r="AE18"/>
  <c r="U18"/>
  <c r="T18"/>
  <c r="S18"/>
  <c r="R18"/>
  <c r="Q18"/>
  <c r="P18"/>
  <c r="O18"/>
  <c r="N18"/>
  <c r="M18"/>
  <c r="L18"/>
  <c r="I18" s="1"/>
  <c r="K18"/>
  <c r="J18"/>
  <c r="H18"/>
  <c r="G18"/>
  <c r="F18"/>
  <c r="E18"/>
  <c r="AZ17"/>
  <c r="AY17"/>
  <c r="AX17"/>
  <c r="AW17"/>
  <c r="AT17" s="1"/>
  <c r="AV17"/>
  <c r="BA17" s="1"/>
  <c r="AU17"/>
  <c r="AS17"/>
  <c r="AR17"/>
  <c r="AQ17"/>
  <c r="AP17"/>
  <c r="AO17"/>
  <c r="AN17"/>
  <c r="AK17"/>
  <c r="AJ17"/>
  <c r="AM17" s="1"/>
  <c r="AI17"/>
  <c r="AH17"/>
  <c r="AG17"/>
  <c r="AF17"/>
  <c r="AE17"/>
  <c r="Y17"/>
  <c r="W17"/>
  <c r="U17"/>
  <c r="T17"/>
  <c r="S17"/>
  <c r="R17"/>
  <c r="Q17"/>
  <c r="P17"/>
  <c r="O17"/>
  <c r="N17"/>
  <c r="M17"/>
  <c r="L17"/>
  <c r="K17"/>
  <c r="J17"/>
  <c r="I17"/>
  <c r="H17"/>
  <c r="G17"/>
  <c r="F17"/>
  <c r="E17"/>
  <c r="AZ16"/>
  <c r="AY16"/>
  <c r="AX16"/>
  <c r="AQ16" s="1"/>
  <c r="AW16"/>
  <c r="AV16"/>
  <c r="BA16" s="1"/>
  <c r="AT16"/>
  <c r="AR16"/>
  <c r="AP16"/>
  <c r="AN16"/>
  <c r="AK16"/>
  <c r="AJ16"/>
  <c r="AI16"/>
  <c r="AH16"/>
  <c r="AG16"/>
  <c r="AF16"/>
  <c r="AE16"/>
  <c r="U16"/>
  <c r="T16"/>
  <c r="S16"/>
  <c r="R16"/>
  <c r="Q16"/>
  <c r="P16"/>
  <c r="G16" s="1"/>
  <c r="O16"/>
  <c r="N16"/>
  <c r="M16"/>
  <c r="L16"/>
  <c r="I16" s="1"/>
  <c r="K16"/>
  <c r="J16"/>
  <c r="H16"/>
  <c r="F16"/>
  <c r="E16"/>
  <c r="AZ15"/>
  <c r="AY15"/>
  <c r="AX15"/>
  <c r="AW15"/>
  <c r="AV15"/>
  <c r="AK15"/>
  <c r="AJ15"/>
  <c r="AI15"/>
  <c r="AH15"/>
  <c r="AG15"/>
  <c r="AF15"/>
  <c r="AE15"/>
  <c r="U15"/>
  <c r="T15"/>
  <c r="S15"/>
  <c r="R15"/>
  <c r="H15" s="1"/>
  <c r="Q15"/>
  <c r="P15"/>
  <c r="O15"/>
  <c r="N15"/>
  <c r="M15"/>
  <c r="L15"/>
  <c r="K15"/>
  <c r="J15"/>
  <c r="F15"/>
  <c r="E15"/>
  <c r="AZ14"/>
  <c r="AY14"/>
  <c r="AX14"/>
  <c r="AQ14" s="1"/>
  <c r="AW14"/>
  <c r="AV14"/>
  <c r="BA14" s="1"/>
  <c r="AT14"/>
  <c r="AR14"/>
  <c r="AP14"/>
  <c r="AN14"/>
  <c r="AK14"/>
  <c r="AJ14"/>
  <c r="AI14"/>
  <c r="AH14"/>
  <c r="AG14"/>
  <c r="AF14"/>
  <c r="AE14"/>
  <c r="Z14" s="1"/>
  <c r="V14"/>
  <c r="U14"/>
  <c r="T14"/>
  <c r="S14"/>
  <c r="R14"/>
  <c r="Q14"/>
  <c r="P14"/>
  <c r="G14" s="1"/>
  <c r="O14"/>
  <c r="N14"/>
  <c r="M14"/>
  <c r="L14"/>
  <c r="I14" s="1"/>
  <c r="K14"/>
  <c r="J14"/>
  <c r="H14"/>
  <c r="F14"/>
  <c r="E14"/>
  <c r="D13"/>
  <c r="P35" s="1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AZ10"/>
  <c r="AY10"/>
  <c r="AX10"/>
  <c r="AW10"/>
  <c r="AV10"/>
  <c r="AK10"/>
  <c r="AJ10"/>
  <c r="AI10"/>
  <c r="AH10"/>
  <c r="AG10"/>
  <c r="AF10"/>
  <c r="AE10"/>
  <c r="U10"/>
  <c r="T10"/>
  <c r="S10"/>
  <c r="R10"/>
  <c r="Q10"/>
  <c r="P10"/>
  <c r="O10"/>
  <c r="N10"/>
  <c r="M10"/>
  <c r="L10"/>
  <c r="K10"/>
  <c r="J10"/>
  <c r="I10"/>
  <c r="F10"/>
  <c r="E10"/>
  <c r="AZ9"/>
  <c r="AY9"/>
  <c r="AR9" s="1"/>
  <c r="AX9"/>
  <c r="AW9"/>
  <c r="AT9" s="1"/>
  <c r="AV9"/>
  <c r="AU9"/>
  <c r="AS9"/>
  <c r="AQ9"/>
  <c r="AO9"/>
  <c r="AK9"/>
  <c r="AM9" s="1"/>
  <c r="AJ9"/>
  <c r="AI9"/>
  <c r="AH9"/>
  <c r="AG9"/>
  <c r="AF9"/>
  <c r="AE9"/>
  <c r="W9" s="1"/>
  <c r="U9"/>
  <c r="T9"/>
  <c r="S9"/>
  <c r="R9"/>
  <c r="Q9"/>
  <c r="P9"/>
  <c r="O9"/>
  <c r="H9" s="1"/>
  <c r="N9"/>
  <c r="M9"/>
  <c r="L9"/>
  <c r="K9"/>
  <c r="J9"/>
  <c r="I9"/>
  <c r="G9"/>
  <c r="F9"/>
  <c r="E9"/>
  <c r="AZ8"/>
  <c r="AY8"/>
  <c r="AX8"/>
  <c r="AQ8" s="1"/>
  <c r="AW8"/>
  <c r="AV8"/>
  <c r="BA8" s="1"/>
  <c r="AT8"/>
  <c r="AR8"/>
  <c r="AP8"/>
  <c r="AN8"/>
  <c r="AK8"/>
  <c r="AJ8"/>
  <c r="AI8"/>
  <c r="AH8"/>
  <c r="AG8"/>
  <c r="AF8"/>
  <c r="AE8"/>
  <c r="AD8" s="1"/>
  <c r="U8"/>
  <c r="T8"/>
  <c r="S8"/>
  <c r="R8"/>
  <c r="Q8"/>
  <c r="P8"/>
  <c r="O8"/>
  <c r="N8"/>
  <c r="G8" s="1"/>
  <c r="M8"/>
  <c r="L8"/>
  <c r="K8"/>
  <c r="J8"/>
  <c r="I8"/>
  <c r="H8"/>
  <c r="F8"/>
  <c r="E8"/>
  <c r="AZ7"/>
  <c r="AY7"/>
  <c r="AX7"/>
  <c r="AW7"/>
  <c r="AV7"/>
  <c r="AQ7" s="1"/>
  <c r="AK7"/>
  <c r="Q33" s="1"/>
  <c r="AJ7"/>
  <c r="P33" s="1"/>
  <c r="AI7"/>
  <c r="AH7"/>
  <c r="AG7"/>
  <c r="AF7"/>
  <c r="AE7"/>
  <c r="U7"/>
  <c r="T7"/>
  <c r="S7"/>
  <c r="R7"/>
  <c r="Q7"/>
  <c r="P7"/>
  <c r="O7"/>
  <c r="N7"/>
  <c r="M7"/>
  <c r="L7"/>
  <c r="K7"/>
  <c r="J7"/>
  <c r="I7"/>
  <c r="G7"/>
  <c r="F7"/>
  <c r="F33" s="1"/>
  <c r="E7"/>
  <c r="AZ6"/>
  <c r="AY6"/>
  <c r="AX6"/>
  <c r="AW6"/>
  <c r="AV6"/>
  <c r="AK6"/>
  <c r="AJ6"/>
  <c r="AI6"/>
  <c r="AH6"/>
  <c r="AG6"/>
  <c r="AF6"/>
  <c r="AE6"/>
  <c r="U6"/>
  <c r="T6"/>
  <c r="S6"/>
  <c r="R6"/>
  <c r="Q6"/>
  <c r="P6"/>
  <c r="O6"/>
  <c r="N6"/>
  <c r="M6"/>
  <c r="L6"/>
  <c r="K6"/>
  <c r="J6"/>
  <c r="I6"/>
  <c r="F6"/>
  <c r="E6"/>
  <c r="AZ5"/>
  <c r="AY5"/>
  <c r="AX5"/>
  <c r="AW5"/>
  <c r="AV5"/>
  <c r="AU5" s="1"/>
  <c r="AS5"/>
  <c r="AO5"/>
  <c r="AK5"/>
  <c r="AJ5"/>
  <c r="AI5"/>
  <c r="AH5"/>
  <c r="AG5"/>
  <c r="AF5"/>
  <c r="AE5"/>
  <c r="AA5" s="1"/>
  <c r="W5"/>
  <c r="U5"/>
  <c r="T5"/>
  <c r="S5"/>
  <c r="R5"/>
  <c r="Q5"/>
  <c r="P5"/>
  <c r="O5"/>
  <c r="N5"/>
  <c r="M5"/>
  <c r="L5"/>
  <c r="K5"/>
  <c r="J5"/>
  <c r="I5"/>
  <c r="G5"/>
  <c r="F5"/>
  <c r="E5"/>
  <c r="AZ4"/>
  <c r="AY4"/>
  <c r="AX4"/>
  <c r="AW4"/>
  <c r="AV4"/>
  <c r="AK4"/>
  <c r="Q32" s="1"/>
  <c r="AJ4"/>
  <c r="P32" s="1"/>
  <c r="AI4"/>
  <c r="AH4"/>
  <c r="AG4"/>
  <c r="AF4"/>
  <c r="AE4"/>
  <c r="U4"/>
  <c r="T4"/>
  <c r="S4"/>
  <c r="R4"/>
  <c r="Q4"/>
  <c r="P4"/>
  <c r="O4"/>
  <c r="N4"/>
  <c r="M4"/>
  <c r="L4"/>
  <c r="K4"/>
  <c r="J4"/>
  <c r="I4"/>
  <c r="F4"/>
  <c r="F32" s="1"/>
  <c r="E4"/>
  <c r="AZ3"/>
  <c r="AY3"/>
  <c r="AX3"/>
  <c r="AW3"/>
  <c r="AV3"/>
  <c r="AK3"/>
  <c r="Q30" s="1"/>
  <c r="AJ3"/>
  <c r="P30" s="1"/>
  <c r="AI3"/>
  <c r="AH3"/>
  <c r="AG3"/>
  <c r="AF3"/>
  <c r="AE3"/>
  <c r="U3"/>
  <c r="T3"/>
  <c r="S3"/>
  <c r="R3"/>
  <c r="Q3"/>
  <c r="P3"/>
  <c r="O3"/>
  <c r="N3"/>
  <c r="M3"/>
  <c r="I3" s="1"/>
  <c r="L3"/>
  <c r="K3"/>
  <c r="J3"/>
  <c r="F3"/>
  <c r="E3"/>
  <c r="D2"/>
  <c r="R35" s="1"/>
  <c r="X29" s="1"/>
  <c r="F30" l="1"/>
  <c r="I15"/>
  <c r="Y23"/>
  <c r="G21"/>
  <c r="BA23"/>
  <c r="Q27"/>
  <c r="F27"/>
  <c r="AB10"/>
  <c r="X15"/>
  <c r="AD23"/>
  <c r="W23"/>
  <c r="AA23"/>
  <c r="AP23"/>
  <c r="Z23"/>
  <c r="V23"/>
  <c r="X23"/>
  <c r="AC23"/>
  <c r="AB23"/>
  <c r="AM23"/>
  <c r="AN23"/>
  <c r="AR23"/>
  <c r="AL23"/>
  <c r="AT23"/>
  <c r="AO23"/>
  <c r="AQ23"/>
  <c r="AS23"/>
  <c r="AU23"/>
  <c r="AR6"/>
  <c r="BA15"/>
  <c r="H10"/>
  <c r="BA10"/>
  <c r="AB15"/>
  <c r="I2"/>
  <c r="P27"/>
  <c r="AB6"/>
  <c r="I46"/>
  <c r="I59"/>
  <c r="K59"/>
  <c r="G55"/>
  <c r="H59"/>
  <c r="H47"/>
  <c r="I57"/>
  <c r="K57"/>
  <c r="H58"/>
  <c r="G59"/>
  <c r="H46"/>
  <c r="H56"/>
  <c r="H45"/>
  <c r="I56"/>
  <c r="G57"/>
  <c r="I47"/>
  <c r="I42"/>
  <c r="H57"/>
  <c r="H54"/>
  <c r="I45"/>
  <c r="K45"/>
  <c r="G46"/>
  <c r="K47"/>
  <c r="K56"/>
  <c r="I58"/>
  <c r="K58"/>
  <c r="H42"/>
  <c r="G45"/>
  <c r="G47"/>
  <c r="G56"/>
  <c r="G58"/>
  <c r="G10"/>
  <c r="AN10"/>
  <c r="BA4"/>
  <c r="AR10"/>
  <c r="AP10"/>
  <c r="AT10"/>
  <c r="AQ10"/>
  <c r="H5"/>
  <c r="AQ5"/>
  <c r="AT5"/>
  <c r="AR5"/>
  <c r="G15"/>
  <c r="G13" s="1"/>
  <c r="G3"/>
  <c r="H6"/>
  <c r="AA7"/>
  <c r="AU7"/>
  <c r="Z15"/>
  <c r="G31" s="1"/>
  <c r="AO15"/>
  <c r="H4"/>
  <c r="AN4"/>
  <c r="V15"/>
  <c r="AL15"/>
  <c r="Y15"/>
  <c r="AR15"/>
  <c r="AN6"/>
  <c r="AP15"/>
  <c r="AM22"/>
  <c r="AN22"/>
  <c r="G50"/>
  <c r="I54"/>
  <c r="AU3"/>
  <c r="AR4"/>
  <c r="F29"/>
  <c r="V6"/>
  <c r="P29"/>
  <c r="BA6"/>
  <c r="AO7"/>
  <c r="AS7"/>
  <c r="W15"/>
  <c r="AA15"/>
  <c r="AD15"/>
  <c r="AC15"/>
  <c r="AM15"/>
  <c r="AN15"/>
  <c r="AT15"/>
  <c r="AR22"/>
  <c r="Q29"/>
  <c r="H13"/>
  <c r="AQ15"/>
  <c r="AS15"/>
  <c r="AU15"/>
  <c r="AT7"/>
  <c r="AR7"/>
  <c r="H7"/>
  <c r="AP22"/>
  <c r="AT22"/>
  <c r="AQ4"/>
  <c r="G4"/>
  <c r="AP4"/>
  <c r="AT4"/>
  <c r="G6"/>
  <c r="AP6"/>
  <c r="AT6"/>
  <c r="AQ6"/>
  <c r="AQ3"/>
  <c r="AO3"/>
  <c r="AS3"/>
  <c r="G42"/>
  <c r="I43"/>
  <c r="I55"/>
  <c r="I50"/>
  <c r="G43"/>
  <c r="H50"/>
  <c r="G54"/>
  <c r="H55"/>
  <c r="H43"/>
  <c r="D39"/>
  <c r="H3"/>
  <c r="AT3"/>
  <c r="AR3"/>
  <c r="K27"/>
  <c r="M27"/>
  <c r="O27"/>
  <c r="L28"/>
  <c r="N28"/>
  <c r="K29"/>
  <c r="M29"/>
  <c r="O29"/>
  <c r="L30"/>
  <c r="N30"/>
  <c r="K31"/>
  <c r="M31"/>
  <c r="O31"/>
  <c r="L32"/>
  <c r="N32"/>
  <c r="K33"/>
  <c r="M33"/>
  <c r="O33"/>
  <c r="K35"/>
  <c r="M35"/>
  <c r="O35"/>
  <c r="L27"/>
  <c r="N27"/>
  <c r="K28"/>
  <c r="M28"/>
  <c r="O28"/>
  <c r="L29"/>
  <c r="N29"/>
  <c r="K30"/>
  <c r="M30"/>
  <c r="O30"/>
  <c r="L31"/>
  <c r="N31"/>
  <c r="K32"/>
  <c r="M32"/>
  <c r="O32"/>
  <c r="L33"/>
  <c r="N33"/>
  <c r="L35"/>
  <c r="N35"/>
  <c r="J2"/>
  <c r="AB8"/>
  <c r="AC17"/>
  <c r="V18"/>
  <c r="V22"/>
  <c r="Y3"/>
  <c r="AB4"/>
  <c r="AB14"/>
  <c r="X16"/>
  <c r="Z18"/>
  <c r="Z22"/>
  <c r="X14"/>
  <c r="X4"/>
  <c r="X8"/>
  <c r="Z10"/>
  <c r="AA17"/>
  <c r="W3"/>
  <c r="AD14"/>
  <c r="AL17"/>
  <c r="X10"/>
  <c r="X6"/>
  <c r="AD6"/>
  <c r="W7"/>
  <c r="AL7"/>
  <c r="I33" s="1"/>
  <c r="AC7"/>
  <c r="AL9"/>
  <c r="AA9"/>
  <c r="V10"/>
  <c r="AD10"/>
  <c r="AB16"/>
  <c r="AB18"/>
  <c r="AB22"/>
  <c r="Z6"/>
  <c r="Y7"/>
  <c r="AC10"/>
  <c r="AA10"/>
  <c r="AC14"/>
  <c r="AA14"/>
  <c r="X18"/>
  <c r="X22"/>
  <c r="AL5"/>
  <c r="AD16"/>
  <c r="AL18"/>
  <c r="AL22"/>
  <c r="Z5"/>
  <c r="Z9"/>
  <c r="V4"/>
  <c r="Z4"/>
  <c r="AD4"/>
  <c r="AC4"/>
  <c r="AA4"/>
  <c r="Y5"/>
  <c r="AC5"/>
  <c r="Z7"/>
  <c r="V8"/>
  <c r="Z8"/>
  <c r="AC8"/>
  <c r="AA8"/>
  <c r="Y9"/>
  <c r="AC9"/>
  <c r="V16"/>
  <c r="Z16"/>
  <c r="AC16"/>
  <c r="AA16"/>
  <c r="Z17"/>
  <c r="W18"/>
  <c r="Y18"/>
  <c r="AA18"/>
  <c r="AD18"/>
  <c r="AC18"/>
  <c r="W22"/>
  <c r="Y22"/>
  <c r="AA22"/>
  <c r="AD22"/>
  <c r="AC22"/>
  <c r="I13"/>
  <c r="AM3"/>
  <c r="BA3"/>
  <c r="AL4"/>
  <c r="I32" s="1"/>
  <c r="AM5"/>
  <c r="BA5"/>
  <c r="AL6"/>
  <c r="AM7"/>
  <c r="BA7"/>
  <c r="AL8"/>
  <c r="BA9"/>
  <c r="AL10"/>
  <c r="AL14"/>
  <c r="AL16"/>
  <c r="S27"/>
  <c r="P28"/>
  <c r="R28"/>
  <c r="S29"/>
  <c r="R30"/>
  <c r="F31"/>
  <c r="Q31"/>
  <c r="S31"/>
  <c r="R32"/>
  <c r="F35"/>
  <c r="Q35"/>
  <c r="S35"/>
  <c r="Y29" s="1"/>
  <c r="P42"/>
  <c r="P44"/>
  <c r="P46"/>
  <c r="P50"/>
  <c r="P54"/>
  <c r="AA3"/>
  <c r="AC3"/>
  <c r="V3"/>
  <c r="X3"/>
  <c r="Z3"/>
  <c r="AB3"/>
  <c r="AD3"/>
  <c r="AL3"/>
  <c r="AN3"/>
  <c r="AP3"/>
  <c r="W4"/>
  <c r="Y4"/>
  <c r="AM4"/>
  <c r="AO4"/>
  <c r="AS4"/>
  <c r="AU4"/>
  <c r="V5"/>
  <c r="X5"/>
  <c r="AB5"/>
  <c r="AD5"/>
  <c r="AN5"/>
  <c r="AP5"/>
  <c r="W6"/>
  <c r="Y6"/>
  <c r="AA6"/>
  <c r="AC6"/>
  <c r="AM6"/>
  <c r="AO6"/>
  <c r="AS6"/>
  <c r="AU6"/>
  <c r="V7"/>
  <c r="X7"/>
  <c r="AB7"/>
  <c r="G33" s="1"/>
  <c r="AD7"/>
  <c r="AN7"/>
  <c r="AP7"/>
  <c r="W8"/>
  <c r="Y8"/>
  <c r="AM8"/>
  <c r="AO8"/>
  <c r="AS8"/>
  <c r="AU8"/>
  <c r="V9"/>
  <c r="X9"/>
  <c r="AB9"/>
  <c r="AD9"/>
  <c r="AN9"/>
  <c r="AP9"/>
  <c r="W10"/>
  <c r="Y10"/>
  <c r="AM10"/>
  <c r="AO10"/>
  <c r="AS10"/>
  <c r="AU10"/>
  <c r="W14"/>
  <c r="Y14"/>
  <c r="AM14"/>
  <c r="AO14"/>
  <c r="AS14"/>
  <c r="AU14"/>
  <c r="W16"/>
  <c r="G28" s="1"/>
  <c r="Y16"/>
  <c r="AM16"/>
  <c r="AO16"/>
  <c r="AS16"/>
  <c r="AU16"/>
  <c r="V17"/>
  <c r="X17"/>
  <c r="AB17"/>
  <c r="AD17"/>
  <c r="AM18"/>
  <c r="AO18"/>
  <c r="AQ18"/>
  <c r="AS18"/>
  <c r="AU18"/>
  <c r="AO22"/>
  <c r="AQ22"/>
  <c r="AS22"/>
  <c r="AU22"/>
  <c r="R27"/>
  <c r="X33" s="1"/>
  <c r="F28"/>
  <c r="Q28"/>
  <c r="S28"/>
  <c r="R29"/>
  <c r="S30"/>
  <c r="P31"/>
  <c r="R31"/>
  <c r="S32"/>
  <c r="G35"/>
  <c r="I35"/>
  <c r="Q40"/>
  <c r="P43"/>
  <c r="AX84" i="6"/>
  <c r="AC56" i="32" s="1"/>
  <c r="AZ84" i="6"/>
  <c r="AG56" i="32" s="1"/>
  <c r="BD84" i="6"/>
  <c r="BE84"/>
  <c r="BF84"/>
  <c r="BG84"/>
  <c r="BH84"/>
  <c r="BI84"/>
  <c r="BJ84"/>
  <c r="BK84"/>
  <c r="BL84"/>
  <c r="BM84"/>
  <c r="AX56"/>
  <c r="AY56" s="1"/>
  <c r="AZ56"/>
  <c r="BA56" s="1"/>
  <c r="BD56"/>
  <c r="BE56"/>
  <c r="BF56"/>
  <c r="BG56"/>
  <c r="BH56"/>
  <c r="BI56"/>
  <c r="BJ56"/>
  <c r="BK56"/>
  <c r="BL56"/>
  <c r="BM56"/>
  <c r="C84"/>
  <c r="C56"/>
  <c r="H56" i="32" l="1"/>
  <c r="G56"/>
  <c r="F56"/>
  <c r="BA84" i="6"/>
  <c r="AG56" i="30"/>
  <c r="AY84" i="6"/>
  <c r="AC56" i="30"/>
  <c r="H29" i="31"/>
  <c r="X27"/>
  <c r="G27"/>
  <c r="Y28"/>
  <c r="Y32"/>
  <c r="H28"/>
  <c r="G2"/>
  <c r="I30"/>
  <c r="H2"/>
  <c r="BB84" i="6"/>
  <c r="BC84" s="1"/>
  <c r="Y27" i="31"/>
  <c r="I28"/>
  <c r="G30"/>
  <c r="G32"/>
  <c r="H32"/>
  <c r="X30"/>
  <c r="X32"/>
  <c r="I29"/>
  <c r="I27"/>
  <c r="G29"/>
  <c r="Y30"/>
  <c r="Y33"/>
  <c r="Y31"/>
  <c r="X31"/>
  <c r="X28"/>
  <c r="X34"/>
  <c r="Y34"/>
  <c r="H35"/>
  <c r="H33"/>
  <c r="H31"/>
  <c r="I31"/>
  <c r="H27"/>
  <c r="Q54"/>
  <c r="Q50"/>
  <c r="Q46"/>
  <c r="Q44"/>
  <c r="Q42"/>
  <c r="Q55"/>
  <c r="Q43"/>
  <c r="R40"/>
  <c r="H30"/>
  <c r="BN84" i="6"/>
  <c r="BN56"/>
  <c r="BB56"/>
  <c r="BC56" s="1"/>
  <c r="G56" i="30" l="1"/>
  <c r="H56"/>
  <c r="F56"/>
  <c r="R55" i="31"/>
  <c r="R43"/>
  <c r="S40"/>
  <c r="R54"/>
  <c r="R50"/>
  <c r="R46"/>
  <c r="R44"/>
  <c r="R42"/>
  <c r="S54" l="1"/>
  <c r="S50"/>
  <c r="S46"/>
  <c r="S44"/>
  <c r="S42"/>
  <c r="S55"/>
  <c r="S43"/>
  <c r="T40"/>
  <c r="T55" l="1"/>
  <c r="T43"/>
  <c r="U40"/>
  <c r="T54"/>
  <c r="T50"/>
  <c r="T46"/>
  <c r="T44"/>
  <c r="T42"/>
  <c r="U54" l="1"/>
  <c r="U50"/>
  <c r="U46"/>
  <c r="U44"/>
  <c r="U42"/>
  <c r="U55"/>
  <c r="U43"/>
  <c r="V40"/>
  <c r="V55" l="1"/>
  <c r="V43"/>
  <c r="W40"/>
  <c r="V54"/>
  <c r="V50"/>
  <c r="V46"/>
  <c r="V44"/>
  <c r="V42"/>
  <c r="W54" l="1"/>
  <c r="W50"/>
  <c r="W46"/>
  <c r="W44"/>
  <c r="W42"/>
  <c r="W55"/>
  <c r="W43"/>
  <c r="X40"/>
  <c r="X55" l="1"/>
  <c r="X43"/>
  <c r="Y40"/>
  <c r="X54"/>
  <c r="X50"/>
  <c r="X46"/>
  <c r="X44"/>
  <c r="X42"/>
  <c r="Y54" l="1"/>
  <c r="Y50"/>
  <c r="Y46"/>
  <c r="Y44"/>
  <c r="Y42"/>
  <c r="Y55"/>
  <c r="Y43"/>
  <c r="Z40"/>
  <c r="Z55" l="1"/>
  <c r="K55" s="1"/>
  <c r="Z43"/>
  <c r="K43" s="1"/>
  <c r="Z54"/>
  <c r="K54" s="1"/>
  <c r="Z50"/>
  <c r="K50" s="1"/>
  <c r="Z46"/>
  <c r="K46" s="1"/>
  <c r="Z44"/>
  <c r="K44" s="1"/>
  <c r="Z42"/>
  <c r="K42" s="1"/>
  <c r="AQ55" i="5" l="1"/>
  <c r="AR55" s="1"/>
  <c r="AS55"/>
  <c r="AT55" s="1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S55"/>
  <c r="BT55"/>
  <c r="BU55"/>
  <c r="BV55"/>
  <c r="BW55"/>
  <c r="BX55"/>
  <c r="BY55"/>
  <c r="BZ55"/>
  <c r="CB55"/>
  <c r="CC55"/>
  <c r="CD55"/>
  <c r="CE55"/>
  <c r="D55" l="1"/>
  <c r="C55"/>
  <c r="AU55"/>
  <c r="AV55" s="1"/>
  <c r="CA55"/>
  <c r="D67" i="30" l="1"/>
  <c r="E67"/>
  <c r="D68"/>
  <c r="E68"/>
  <c r="D69"/>
  <c r="E69"/>
  <c r="D70"/>
  <c r="E70"/>
  <c r="J70"/>
  <c r="D71"/>
  <c r="E71"/>
  <c r="J71"/>
  <c r="B2" i="6"/>
  <c r="B3"/>
  <c r="B4"/>
  <c r="B5"/>
  <c r="B6"/>
  <c r="J72" i="30"/>
  <c r="E72"/>
  <c r="D72"/>
  <c r="E66"/>
  <c r="D66"/>
  <c r="E65"/>
  <c r="D65"/>
  <c r="E64"/>
  <c r="D64"/>
  <c r="E63"/>
  <c r="D63"/>
  <c r="E60"/>
  <c r="D60"/>
  <c r="E59"/>
  <c r="D59"/>
  <c r="J56"/>
  <c r="E56"/>
  <c r="D56"/>
  <c r="E55"/>
  <c r="D55"/>
  <c r="E54"/>
  <c r="D54"/>
  <c r="E53"/>
  <c r="D53"/>
  <c r="E52"/>
  <c r="D52"/>
  <c r="E51"/>
  <c r="D51"/>
  <c r="O49"/>
  <c r="C47"/>
  <c r="C46"/>
  <c r="R37"/>
  <c r="Q37"/>
  <c r="AY33"/>
  <c r="AX33"/>
  <c r="AW33"/>
  <c r="AV33"/>
  <c r="AU33"/>
  <c r="AZ33" s="1"/>
  <c r="AJ33"/>
  <c r="AI33"/>
  <c r="AH33"/>
  <c r="AG33"/>
  <c r="AF33"/>
  <c r="AE33"/>
  <c r="AD33"/>
  <c r="AA33"/>
  <c r="W33"/>
  <c r="T33"/>
  <c r="S33"/>
  <c r="R33"/>
  <c r="Q33"/>
  <c r="P33"/>
  <c r="O33"/>
  <c r="N33"/>
  <c r="M33"/>
  <c r="L33"/>
  <c r="K33"/>
  <c r="J33"/>
  <c r="I33"/>
  <c r="H33"/>
  <c r="G33"/>
  <c r="F33"/>
  <c r="E33"/>
  <c r="D33"/>
  <c r="AY31"/>
  <c r="AX31"/>
  <c r="AW31"/>
  <c r="AV31"/>
  <c r="AU31"/>
  <c r="AJ31"/>
  <c r="AI31"/>
  <c r="AH31"/>
  <c r="AG31"/>
  <c r="AF31"/>
  <c r="AE31"/>
  <c r="AD31"/>
  <c r="T31"/>
  <c r="S31"/>
  <c r="R31"/>
  <c r="Q31"/>
  <c r="P31"/>
  <c r="O31"/>
  <c r="N31"/>
  <c r="M31"/>
  <c r="L31"/>
  <c r="K31"/>
  <c r="J31"/>
  <c r="I31"/>
  <c r="H31"/>
  <c r="G31"/>
  <c r="F31"/>
  <c r="E31"/>
  <c r="D31"/>
  <c r="AY30"/>
  <c r="AX30"/>
  <c r="AW30"/>
  <c r="AV30"/>
  <c r="AU30"/>
  <c r="AJ30"/>
  <c r="AI30"/>
  <c r="AH30"/>
  <c r="AG30"/>
  <c r="AF30"/>
  <c r="AE30"/>
  <c r="AD30"/>
  <c r="T30"/>
  <c r="S30"/>
  <c r="R30"/>
  <c r="Q30"/>
  <c r="P30"/>
  <c r="O30"/>
  <c r="N30"/>
  <c r="M30"/>
  <c r="L30"/>
  <c r="K30"/>
  <c r="J30"/>
  <c r="I30"/>
  <c r="H30"/>
  <c r="G30"/>
  <c r="F30"/>
  <c r="E30"/>
  <c r="D30"/>
  <c r="C29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AY26"/>
  <c r="AX26"/>
  <c r="AW26"/>
  <c r="AV26"/>
  <c r="AU26"/>
  <c r="AJ26"/>
  <c r="AI26"/>
  <c r="AH26"/>
  <c r="AG26"/>
  <c r="AF26"/>
  <c r="AE26"/>
  <c r="AD26"/>
  <c r="T26"/>
  <c r="S26"/>
  <c r="R26"/>
  <c r="Q26"/>
  <c r="G26" s="1"/>
  <c r="P26"/>
  <c r="O26"/>
  <c r="N26"/>
  <c r="M26"/>
  <c r="L26"/>
  <c r="K26"/>
  <c r="J26"/>
  <c r="I26"/>
  <c r="E26"/>
  <c r="D26"/>
  <c r="AY23"/>
  <c r="AX23"/>
  <c r="AW23"/>
  <c r="AV23"/>
  <c r="AU23"/>
  <c r="AJ23"/>
  <c r="AI23"/>
  <c r="AH23"/>
  <c r="AG23"/>
  <c r="AF23"/>
  <c r="AE23"/>
  <c r="AD23"/>
  <c r="T23"/>
  <c r="S23"/>
  <c r="R23"/>
  <c r="Q23"/>
  <c r="G23" s="1"/>
  <c r="P23"/>
  <c r="O23"/>
  <c r="N23"/>
  <c r="M23"/>
  <c r="L23"/>
  <c r="K23"/>
  <c r="J23"/>
  <c r="I23"/>
  <c r="E23"/>
  <c r="D23"/>
  <c r="AY22"/>
  <c r="AX22"/>
  <c r="AW22"/>
  <c r="AV22"/>
  <c r="AU22"/>
  <c r="AJ22"/>
  <c r="AI22"/>
  <c r="AH22"/>
  <c r="AG22"/>
  <c r="AF22"/>
  <c r="AE22"/>
  <c r="AD22"/>
  <c r="T22"/>
  <c r="S22"/>
  <c r="R22"/>
  <c r="Q22"/>
  <c r="G22" s="1"/>
  <c r="P22"/>
  <c r="O22"/>
  <c r="N22"/>
  <c r="M22"/>
  <c r="L22"/>
  <c r="K22"/>
  <c r="J22"/>
  <c r="I22"/>
  <c r="E22"/>
  <c r="D22"/>
  <c r="AY21"/>
  <c r="AX21"/>
  <c r="AW21"/>
  <c r="AV21"/>
  <c r="AU21"/>
  <c r="AJ21"/>
  <c r="AI21"/>
  <c r="AH21"/>
  <c r="AG21"/>
  <c r="AF21"/>
  <c r="AE21"/>
  <c r="AD21"/>
  <c r="T21"/>
  <c r="S21"/>
  <c r="R21"/>
  <c r="Q21"/>
  <c r="G21" s="1"/>
  <c r="P21"/>
  <c r="O21"/>
  <c r="N21"/>
  <c r="M21"/>
  <c r="L21"/>
  <c r="K21"/>
  <c r="J21"/>
  <c r="I21"/>
  <c r="E21"/>
  <c r="D21"/>
  <c r="AY20"/>
  <c r="AX20"/>
  <c r="AW20"/>
  <c r="AV20"/>
  <c r="AU20"/>
  <c r="AJ20"/>
  <c r="AI20"/>
  <c r="AH20"/>
  <c r="AG20"/>
  <c r="AF20"/>
  <c r="AE20"/>
  <c r="AD20"/>
  <c r="T20"/>
  <c r="S20"/>
  <c r="R20"/>
  <c r="Q20"/>
  <c r="G20" s="1"/>
  <c r="P20"/>
  <c r="O20"/>
  <c r="N20"/>
  <c r="M20"/>
  <c r="L20"/>
  <c r="K20"/>
  <c r="J20"/>
  <c r="I20"/>
  <c r="E20"/>
  <c r="D20"/>
  <c r="C19"/>
  <c r="O44" s="1"/>
  <c r="AY17"/>
  <c r="AX17"/>
  <c r="AW17"/>
  <c r="AV17"/>
  <c r="AU17"/>
  <c r="AZ17" s="1"/>
  <c r="AJ17"/>
  <c r="AI17"/>
  <c r="AH17"/>
  <c r="AG17"/>
  <c r="AF17"/>
  <c r="X17" s="1"/>
  <c r="AE17"/>
  <c r="AD17"/>
  <c r="AC17" s="1"/>
  <c r="AA17"/>
  <c r="Y17"/>
  <c r="W17"/>
  <c r="U17"/>
  <c r="T17"/>
  <c r="S17"/>
  <c r="R17"/>
  <c r="Q17"/>
  <c r="P17"/>
  <c r="O17"/>
  <c r="N17"/>
  <c r="M17"/>
  <c r="F17" s="1"/>
  <c r="L17"/>
  <c r="K17"/>
  <c r="J17"/>
  <c r="I17"/>
  <c r="H17"/>
  <c r="G17"/>
  <c r="E17"/>
  <c r="D17"/>
  <c r="AY14"/>
  <c r="AX14"/>
  <c r="AW14"/>
  <c r="AV14"/>
  <c r="AU14"/>
  <c r="AJ14"/>
  <c r="AI14"/>
  <c r="AH14"/>
  <c r="AG14"/>
  <c r="AF14"/>
  <c r="AE14"/>
  <c r="AD14"/>
  <c r="T14"/>
  <c r="S14"/>
  <c r="R14"/>
  <c r="Q14"/>
  <c r="P14"/>
  <c r="O14"/>
  <c r="N14"/>
  <c r="M14"/>
  <c r="L14"/>
  <c r="K14"/>
  <c r="J14"/>
  <c r="I14"/>
  <c r="H14"/>
  <c r="E14"/>
  <c r="D14"/>
  <c r="AY12"/>
  <c r="AX12"/>
  <c r="AW12"/>
  <c r="AV12"/>
  <c r="AU12"/>
  <c r="AJ12"/>
  <c r="AI12"/>
  <c r="AH12"/>
  <c r="AG12"/>
  <c r="AF12"/>
  <c r="AE12"/>
  <c r="AD12"/>
  <c r="T12"/>
  <c r="S12"/>
  <c r="R12"/>
  <c r="Q12"/>
  <c r="P12"/>
  <c r="O12"/>
  <c r="N12"/>
  <c r="M12"/>
  <c r="L12"/>
  <c r="K12"/>
  <c r="J12"/>
  <c r="I12"/>
  <c r="H12"/>
  <c r="E12"/>
  <c r="D12"/>
  <c r="AY11"/>
  <c r="AX11"/>
  <c r="AW11"/>
  <c r="AV11"/>
  <c r="AU11"/>
  <c r="AJ11"/>
  <c r="AI11"/>
  <c r="AH11"/>
  <c r="AG11"/>
  <c r="AF11"/>
  <c r="AE11"/>
  <c r="AD11"/>
  <c r="T11"/>
  <c r="S11"/>
  <c r="R11"/>
  <c r="Q11"/>
  <c r="P11"/>
  <c r="O11"/>
  <c r="N11"/>
  <c r="M11"/>
  <c r="L11"/>
  <c r="K11"/>
  <c r="J11"/>
  <c r="I11"/>
  <c r="H11"/>
  <c r="E11"/>
  <c r="D11"/>
  <c r="AY10"/>
  <c r="AX10"/>
  <c r="AW10"/>
  <c r="AV10"/>
  <c r="AU10"/>
  <c r="AJ10"/>
  <c r="P37" s="1"/>
  <c r="AI10"/>
  <c r="O37" s="1"/>
  <c r="AH10"/>
  <c r="N37" s="1"/>
  <c r="AG10"/>
  <c r="AF10"/>
  <c r="L37" s="1"/>
  <c r="AE10"/>
  <c r="K37" s="1"/>
  <c r="AD10"/>
  <c r="J37" s="1"/>
  <c r="T10"/>
  <c r="S10"/>
  <c r="R10"/>
  <c r="Q10"/>
  <c r="P10"/>
  <c r="O10"/>
  <c r="N10"/>
  <c r="M10"/>
  <c r="L10"/>
  <c r="K10"/>
  <c r="J10"/>
  <c r="I10"/>
  <c r="H10"/>
  <c r="E10"/>
  <c r="E37" s="1"/>
  <c r="D10"/>
  <c r="AY9"/>
  <c r="AX9"/>
  <c r="AW9"/>
  <c r="AV9"/>
  <c r="AU9"/>
  <c r="AJ9"/>
  <c r="P41" s="1"/>
  <c r="AI9"/>
  <c r="O41" s="1"/>
  <c r="AH9"/>
  <c r="N41" s="1"/>
  <c r="AG9"/>
  <c r="M41" s="1"/>
  <c r="AF9"/>
  <c r="AE9"/>
  <c r="K41" s="1"/>
  <c r="AD9"/>
  <c r="T9"/>
  <c r="S9"/>
  <c r="R9"/>
  <c r="Q9"/>
  <c r="P9"/>
  <c r="O9"/>
  <c r="N9"/>
  <c r="M9"/>
  <c r="L9"/>
  <c r="K9"/>
  <c r="J9"/>
  <c r="I9"/>
  <c r="H9"/>
  <c r="E9"/>
  <c r="E41" s="1"/>
  <c r="D9"/>
  <c r="AY8"/>
  <c r="AX8"/>
  <c r="AW8"/>
  <c r="AV8"/>
  <c r="AU8"/>
  <c r="AJ8"/>
  <c r="P36" s="1"/>
  <c r="AI8"/>
  <c r="O36" s="1"/>
  <c r="AH8"/>
  <c r="N36" s="1"/>
  <c r="AG8"/>
  <c r="M36" s="1"/>
  <c r="AF8"/>
  <c r="L36" s="1"/>
  <c r="AE8"/>
  <c r="AD8"/>
  <c r="J36" s="1"/>
  <c r="T8"/>
  <c r="S8"/>
  <c r="R8"/>
  <c r="Q8"/>
  <c r="P8"/>
  <c r="O8"/>
  <c r="N8"/>
  <c r="M8"/>
  <c r="L8"/>
  <c r="K8"/>
  <c r="J8"/>
  <c r="I8"/>
  <c r="H8"/>
  <c r="E8"/>
  <c r="E36" s="1"/>
  <c r="D8"/>
  <c r="AY7"/>
  <c r="AX7"/>
  <c r="AW7"/>
  <c r="AV7"/>
  <c r="AU7"/>
  <c r="AJ7"/>
  <c r="P42" s="1"/>
  <c r="AI7"/>
  <c r="O42" s="1"/>
  <c r="AH7"/>
  <c r="N42" s="1"/>
  <c r="AG7"/>
  <c r="M42" s="1"/>
  <c r="AF7"/>
  <c r="L42" s="1"/>
  <c r="AE7"/>
  <c r="K42" s="1"/>
  <c r="AD7"/>
  <c r="J42" s="1"/>
  <c r="T7"/>
  <c r="S7"/>
  <c r="R7"/>
  <c r="Q7"/>
  <c r="P7"/>
  <c r="O7"/>
  <c r="N7"/>
  <c r="M7"/>
  <c r="L7"/>
  <c r="K7"/>
  <c r="J7"/>
  <c r="I7"/>
  <c r="H7"/>
  <c r="E7"/>
  <c r="E42" s="1"/>
  <c r="D7"/>
  <c r="AY6"/>
  <c r="AX6"/>
  <c r="AW6"/>
  <c r="AV6"/>
  <c r="AU6"/>
  <c r="AJ6"/>
  <c r="P39" s="1"/>
  <c r="AI6"/>
  <c r="O39" s="1"/>
  <c r="AH6"/>
  <c r="N39" s="1"/>
  <c r="AG6"/>
  <c r="M39" s="1"/>
  <c r="AF6"/>
  <c r="L39" s="1"/>
  <c r="AE6"/>
  <c r="K39" s="1"/>
  <c r="AD6"/>
  <c r="J39" s="1"/>
  <c r="T6"/>
  <c r="S6"/>
  <c r="R6"/>
  <c r="Q6"/>
  <c r="P6"/>
  <c r="O6"/>
  <c r="N6"/>
  <c r="M6"/>
  <c r="L6"/>
  <c r="K6"/>
  <c r="J6"/>
  <c r="I6"/>
  <c r="H6"/>
  <c r="E6"/>
  <c r="E39" s="1"/>
  <c r="D6"/>
  <c r="C5"/>
  <c r="AM14" l="1"/>
  <c r="Z14"/>
  <c r="AS12"/>
  <c r="V14"/>
  <c r="W12"/>
  <c r="F14"/>
  <c r="AO12"/>
  <c r="AQ14"/>
  <c r="AK12"/>
  <c r="AC14"/>
  <c r="X14"/>
  <c r="G12"/>
  <c r="AA12"/>
  <c r="G14"/>
  <c r="AB14"/>
  <c r="AA14"/>
  <c r="AZ14"/>
  <c r="AO14"/>
  <c r="Y12"/>
  <c r="AQ12"/>
  <c r="AC33"/>
  <c r="V17"/>
  <c r="Z17"/>
  <c r="AB17"/>
  <c r="AM17"/>
  <c r="AQ17"/>
  <c r="AK17"/>
  <c r="AO17"/>
  <c r="AS17"/>
  <c r="AL17"/>
  <c r="AN17"/>
  <c r="AP17"/>
  <c r="AR17"/>
  <c r="AT17"/>
  <c r="F12"/>
  <c r="U12"/>
  <c r="AC12"/>
  <c r="AB12"/>
  <c r="Z12"/>
  <c r="AM12"/>
  <c r="AZ12"/>
  <c r="AP12"/>
  <c r="U14"/>
  <c r="W14"/>
  <c r="Y14"/>
  <c r="AK14"/>
  <c r="AS14"/>
  <c r="Y33"/>
  <c r="AL14"/>
  <c r="AN14"/>
  <c r="AP14"/>
  <c r="AR14"/>
  <c r="AT14"/>
  <c r="V12"/>
  <c r="X12"/>
  <c r="AL12"/>
  <c r="AN12"/>
  <c r="AR12"/>
  <c r="AT12"/>
  <c r="U33"/>
  <c r="AB33"/>
  <c r="AM33"/>
  <c r="AQ33"/>
  <c r="Z33"/>
  <c r="AP33"/>
  <c r="AK33"/>
  <c r="AO33"/>
  <c r="AS33"/>
  <c r="V33"/>
  <c r="X33"/>
  <c r="AL33"/>
  <c r="AN33"/>
  <c r="AR33"/>
  <c r="AT33"/>
  <c r="F29"/>
  <c r="C48"/>
  <c r="D46" s="1"/>
  <c r="AN22"/>
  <c r="AM23"/>
  <c r="Y31"/>
  <c r="I5"/>
  <c r="H23"/>
  <c r="H26"/>
  <c r="Z26"/>
  <c r="U31"/>
  <c r="AZ31"/>
  <c r="AP26"/>
  <c r="AN7"/>
  <c r="F11"/>
  <c r="AT11"/>
  <c r="Z20"/>
  <c r="AC21"/>
  <c r="Y23"/>
  <c r="H22"/>
  <c r="AQ6"/>
  <c r="Y6"/>
  <c r="G7"/>
  <c r="V9"/>
  <c r="AS10"/>
  <c r="V11"/>
  <c r="AB22"/>
  <c r="AQ23"/>
  <c r="AB30"/>
  <c r="X30"/>
  <c r="Z8"/>
  <c r="AQ8"/>
  <c r="AT9"/>
  <c r="W10"/>
  <c r="AQ10"/>
  <c r="AS11"/>
  <c r="AP11"/>
  <c r="AT20"/>
  <c r="AP20"/>
  <c r="AS21"/>
  <c r="F22"/>
  <c r="Z22"/>
  <c r="V26"/>
  <c r="AT30"/>
  <c r="AP30"/>
  <c r="AC31"/>
  <c r="G6"/>
  <c r="AB7"/>
  <c r="AP9"/>
  <c r="AM6"/>
  <c r="AT7"/>
  <c r="V8"/>
  <c r="AB9"/>
  <c r="AK11"/>
  <c r="AL11"/>
  <c r="V20"/>
  <c r="W21"/>
  <c r="AQ21"/>
  <c r="AT22"/>
  <c r="AC23"/>
  <c r="AT26"/>
  <c r="W31"/>
  <c r="AB31"/>
  <c r="AA31"/>
  <c r="AM31"/>
  <c r="H5"/>
  <c r="AP7"/>
  <c r="X9"/>
  <c r="Y21"/>
  <c r="AP22"/>
  <c r="F6"/>
  <c r="U6"/>
  <c r="AC6"/>
  <c r="AZ6"/>
  <c r="X7"/>
  <c r="AR7"/>
  <c r="G8"/>
  <c r="X8"/>
  <c r="AC8"/>
  <c r="AM8"/>
  <c r="Z9"/>
  <c r="F41" s="1"/>
  <c r="G10"/>
  <c r="AA10"/>
  <c r="AO10"/>
  <c r="Z11"/>
  <c r="H20"/>
  <c r="F20"/>
  <c r="AK20"/>
  <c r="AL20"/>
  <c r="AS20"/>
  <c r="AA21"/>
  <c r="AO21"/>
  <c r="X22"/>
  <c r="AR22"/>
  <c r="G19"/>
  <c r="U23"/>
  <c r="AB23"/>
  <c r="AZ23"/>
  <c r="F26"/>
  <c r="AK26"/>
  <c r="AL26"/>
  <c r="AS26"/>
  <c r="Z30"/>
  <c r="AM30"/>
  <c r="AS30"/>
  <c r="V31"/>
  <c r="X31"/>
  <c r="Z31"/>
  <c r="AQ31"/>
  <c r="AP6"/>
  <c r="Y11"/>
  <c r="AZ11"/>
  <c r="Y20"/>
  <c r="AZ20"/>
  <c r="F23"/>
  <c r="AK23"/>
  <c r="AP23"/>
  <c r="Y26"/>
  <c r="AZ26"/>
  <c r="AZ30"/>
  <c r="W6"/>
  <c r="AA6"/>
  <c r="AO6"/>
  <c r="AS6"/>
  <c r="F7"/>
  <c r="V7"/>
  <c r="Z7"/>
  <c r="AS7"/>
  <c r="AQ7"/>
  <c r="F8"/>
  <c r="U8"/>
  <c r="F36" s="1"/>
  <c r="W8"/>
  <c r="Y8"/>
  <c r="AA8"/>
  <c r="G9"/>
  <c r="AL9"/>
  <c r="AS9"/>
  <c r="F10"/>
  <c r="U10"/>
  <c r="Y10"/>
  <c r="AC10"/>
  <c r="AK10"/>
  <c r="H37" s="1"/>
  <c r="AM10"/>
  <c r="AZ10"/>
  <c r="AP10"/>
  <c r="G11"/>
  <c r="X11"/>
  <c r="AB11"/>
  <c r="AN11"/>
  <c r="AR11"/>
  <c r="X20"/>
  <c r="AB20"/>
  <c r="AN20"/>
  <c r="AR20"/>
  <c r="H21"/>
  <c r="F21"/>
  <c r="U21"/>
  <c r="AB21"/>
  <c r="F43" s="1"/>
  <c r="AK21"/>
  <c r="AM21"/>
  <c r="AZ21"/>
  <c r="AP21"/>
  <c r="V22"/>
  <c r="AK22"/>
  <c r="H38" s="1"/>
  <c r="Y22"/>
  <c r="AL22"/>
  <c r="AS22"/>
  <c r="AZ22"/>
  <c r="W23"/>
  <c r="AA23"/>
  <c r="AO23"/>
  <c r="AS23"/>
  <c r="X26"/>
  <c r="AB26"/>
  <c r="AN26"/>
  <c r="AR26"/>
  <c r="V30"/>
  <c r="AK30"/>
  <c r="Y30"/>
  <c r="AL30"/>
  <c r="AN30"/>
  <c r="AR30"/>
  <c r="AK31"/>
  <c r="AO31"/>
  <c r="AS31"/>
  <c r="Q44"/>
  <c r="W38" s="1"/>
  <c r="R43"/>
  <c r="X39" s="1"/>
  <c r="Q42"/>
  <c r="W41" s="1"/>
  <c r="R41"/>
  <c r="X43" s="1"/>
  <c r="Q40"/>
  <c r="W36" s="1"/>
  <c r="R39"/>
  <c r="X37" s="1"/>
  <c r="Q38"/>
  <c r="W40" s="1"/>
  <c r="Q36"/>
  <c r="W42" s="1"/>
  <c r="R44"/>
  <c r="X38" s="1"/>
  <c r="Q43"/>
  <c r="W39" s="1"/>
  <c r="R42"/>
  <c r="X41" s="1"/>
  <c r="Q41"/>
  <c r="W43" s="1"/>
  <c r="R40"/>
  <c r="X36" s="1"/>
  <c r="Q39"/>
  <c r="W37" s="1"/>
  <c r="R38"/>
  <c r="X40" s="1"/>
  <c r="R36"/>
  <c r="X42" s="1"/>
  <c r="AZ8"/>
  <c r="AT8"/>
  <c r="AR8"/>
  <c r="AN8"/>
  <c r="AL8"/>
  <c r="AQ9"/>
  <c r="AO9"/>
  <c r="AM9"/>
  <c r="AK6"/>
  <c r="H39" s="1"/>
  <c r="AL7"/>
  <c r="AZ7"/>
  <c r="G36"/>
  <c r="AP8"/>
  <c r="AZ9"/>
  <c r="K36"/>
  <c r="AB8"/>
  <c r="J41"/>
  <c r="AK9"/>
  <c r="H41" s="1"/>
  <c r="AC9"/>
  <c r="AA9"/>
  <c r="W9"/>
  <c r="U9"/>
  <c r="L41"/>
  <c r="Y9"/>
  <c r="V6"/>
  <c r="X6"/>
  <c r="F39" s="1"/>
  <c r="Z6"/>
  <c r="AB6"/>
  <c r="AL6"/>
  <c r="AN6"/>
  <c r="AR6"/>
  <c r="AT6"/>
  <c r="U7"/>
  <c r="W7"/>
  <c r="Y7"/>
  <c r="AA7"/>
  <c r="F42" s="1"/>
  <c r="AC7"/>
  <c r="AK7"/>
  <c r="H42" s="1"/>
  <c r="AM7"/>
  <c r="AO7"/>
  <c r="AK8"/>
  <c r="H36" s="1"/>
  <c r="AO8"/>
  <c r="AS8"/>
  <c r="F9"/>
  <c r="AN9"/>
  <c r="AR9"/>
  <c r="V10"/>
  <c r="F37" s="1"/>
  <c r="X10"/>
  <c r="Z10"/>
  <c r="AB10"/>
  <c r="AL10"/>
  <c r="AN10"/>
  <c r="AR10"/>
  <c r="AT10"/>
  <c r="U11"/>
  <c r="W11"/>
  <c r="AA11"/>
  <c r="AC11"/>
  <c r="AM11"/>
  <c r="AO11"/>
  <c r="AQ11"/>
  <c r="U20"/>
  <c r="G44" s="1"/>
  <c r="W20"/>
  <c r="AA20"/>
  <c r="AC20"/>
  <c r="AM20"/>
  <c r="AO20"/>
  <c r="AQ20"/>
  <c r="V21"/>
  <c r="X21"/>
  <c r="Z21"/>
  <c r="AL21"/>
  <c r="AN21"/>
  <c r="AR21"/>
  <c r="AT21"/>
  <c r="U22"/>
  <c r="W22"/>
  <c r="G38" s="1"/>
  <c r="AA22"/>
  <c r="AC22"/>
  <c r="AM22"/>
  <c r="AO22"/>
  <c r="AQ22"/>
  <c r="V23"/>
  <c r="X23"/>
  <c r="Z23"/>
  <c r="AL23"/>
  <c r="AN23"/>
  <c r="AR23"/>
  <c r="AT23"/>
  <c r="U26"/>
  <c r="W26"/>
  <c r="AA26"/>
  <c r="AC26"/>
  <c r="AM26"/>
  <c r="AO26"/>
  <c r="AQ26"/>
  <c r="U30"/>
  <c r="W30"/>
  <c r="AA30"/>
  <c r="AC30"/>
  <c r="AO30"/>
  <c r="AQ30"/>
  <c r="AL31"/>
  <c r="AN31"/>
  <c r="AP31"/>
  <c r="AR31"/>
  <c r="AT31"/>
  <c r="M37"/>
  <c r="E38"/>
  <c r="J38"/>
  <c r="L38"/>
  <c r="N38"/>
  <c r="P38"/>
  <c r="E40"/>
  <c r="J40"/>
  <c r="L40"/>
  <c r="N40"/>
  <c r="P40"/>
  <c r="H43"/>
  <c r="K43"/>
  <c r="M43"/>
  <c r="O43"/>
  <c r="E44"/>
  <c r="J44"/>
  <c r="L44"/>
  <c r="N44"/>
  <c r="P44"/>
  <c r="F38"/>
  <c r="K38"/>
  <c r="M38"/>
  <c r="O38"/>
  <c r="F40"/>
  <c r="H40"/>
  <c r="K40"/>
  <c r="M40"/>
  <c r="O40"/>
  <c r="E43"/>
  <c r="J43"/>
  <c r="L43"/>
  <c r="N43"/>
  <c r="P43"/>
  <c r="F44"/>
  <c r="H44"/>
  <c r="K44"/>
  <c r="M44"/>
  <c r="P49"/>
  <c r="D47" l="1"/>
  <c r="F5"/>
  <c r="F19"/>
  <c r="H19"/>
  <c r="G40"/>
  <c r="G43"/>
  <c r="G41"/>
  <c r="G5"/>
  <c r="G37"/>
  <c r="Q49"/>
  <c r="G42"/>
  <c r="G39"/>
  <c r="R49" l="1"/>
  <c r="S49" l="1"/>
  <c r="T49" l="1"/>
  <c r="U49" l="1"/>
  <c r="V49" l="1"/>
  <c r="W49" l="1"/>
  <c r="X49" l="1"/>
  <c r="Y49" l="1"/>
  <c r="J67" l="1"/>
  <c r="J69"/>
  <c r="J68"/>
  <c r="J66"/>
  <c r="J64"/>
  <c r="J60"/>
  <c r="J54"/>
  <c r="J52"/>
  <c r="J65"/>
  <c r="J63"/>
  <c r="J59"/>
  <c r="J55"/>
  <c r="J53"/>
  <c r="J51"/>
  <c r="AQ58" i="5" l="1"/>
  <c r="AR58" s="1"/>
  <c r="AS58"/>
  <c r="AT58" s="1"/>
  <c r="AW58"/>
  <c r="AX58"/>
  <c r="AY58"/>
  <c r="AZ58"/>
  <c r="BA58"/>
  <c r="BB58"/>
  <c r="BC58"/>
  <c r="BD58"/>
  <c r="BE58"/>
  <c r="BF58"/>
  <c r="BG58"/>
  <c r="BH58"/>
  <c r="BI58"/>
  <c r="BJ58"/>
  <c r="BK58"/>
  <c r="BL58"/>
  <c r="BM58"/>
  <c r="BN58"/>
  <c r="BO58"/>
  <c r="BP58"/>
  <c r="BQ58"/>
  <c r="BS58"/>
  <c r="BT58"/>
  <c r="BU58"/>
  <c r="BV58"/>
  <c r="BW58"/>
  <c r="BX58"/>
  <c r="BY58"/>
  <c r="BZ58"/>
  <c r="CB58"/>
  <c r="CC58"/>
  <c r="CD58"/>
  <c r="CE58"/>
  <c r="AQ40"/>
  <c r="AR40" s="1"/>
  <c r="AS40"/>
  <c r="AT40" s="1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S40"/>
  <c r="BT40"/>
  <c r="BU40"/>
  <c r="BV40"/>
  <c r="BW40"/>
  <c r="BX40"/>
  <c r="BY40"/>
  <c r="BZ40"/>
  <c r="CB40"/>
  <c r="CC40"/>
  <c r="CD40"/>
  <c r="CE40"/>
  <c r="AQ20"/>
  <c r="AR20" s="1"/>
  <c r="AS20"/>
  <c r="AT20" s="1"/>
  <c r="AW20"/>
  <c r="AX20"/>
  <c r="AY20"/>
  <c r="AZ20"/>
  <c r="BA20"/>
  <c r="BB20"/>
  <c r="BC20"/>
  <c r="BD20"/>
  <c r="BE20"/>
  <c r="BF20"/>
  <c r="BG20"/>
  <c r="BH20"/>
  <c r="BI20"/>
  <c r="BJ20"/>
  <c r="BK20"/>
  <c r="BL20"/>
  <c r="BM20"/>
  <c r="BN20"/>
  <c r="BO20"/>
  <c r="BP20"/>
  <c r="BQ20"/>
  <c r="BS20"/>
  <c r="BT20"/>
  <c r="BU20"/>
  <c r="BV20"/>
  <c r="BW20"/>
  <c r="BX20"/>
  <c r="BY20"/>
  <c r="BZ20"/>
  <c r="CB20"/>
  <c r="CC20"/>
  <c r="CD20"/>
  <c r="CE20"/>
  <c r="L56" i="9"/>
  <c r="M56"/>
  <c r="AQ34" i="5"/>
  <c r="AR34" s="1"/>
  <c r="AS34"/>
  <c r="AT34" s="1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S34"/>
  <c r="BT34"/>
  <c r="BU34"/>
  <c r="BV34"/>
  <c r="BW34"/>
  <c r="BX34"/>
  <c r="BY34"/>
  <c r="BZ34"/>
  <c r="CB34"/>
  <c r="CC34"/>
  <c r="CD34"/>
  <c r="CE34"/>
  <c r="CE42"/>
  <c r="CE21"/>
  <c r="CE74"/>
  <c r="CE46"/>
  <c r="CE63"/>
  <c r="CE64"/>
  <c r="CE57"/>
  <c r="CE67"/>
  <c r="CE32"/>
  <c r="CE41"/>
  <c r="CE68"/>
  <c r="CE28"/>
  <c r="CE18"/>
  <c r="CE39"/>
  <c r="CE24"/>
  <c r="CE56"/>
  <c r="CE23"/>
  <c r="CE71"/>
  <c r="CE12"/>
  <c r="CE11"/>
  <c r="CE50"/>
  <c r="CE27"/>
  <c r="CE72"/>
  <c r="CE17"/>
  <c r="CE35"/>
  <c r="CE25"/>
  <c r="CE36"/>
  <c r="CE60"/>
  <c r="CE66"/>
  <c r="CE37"/>
  <c r="CE73"/>
  <c r="CE70"/>
  <c r="CE45"/>
  <c r="CE30"/>
  <c r="CE29"/>
  <c r="CE61"/>
  <c r="CE54"/>
  <c r="CE33"/>
  <c r="CE62"/>
  <c r="CE59"/>
  <c r="CE69"/>
  <c r="CE65"/>
  <c r="CE53"/>
  <c r="CE19"/>
  <c r="K58" i="9"/>
  <c r="L58"/>
  <c r="M58"/>
  <c r="D34" i="5" l="1"/>
  <c r="C34"/>
  <c r="D20"/>
  <c r="D40"/>
  <c r="D58"/>
  <c r="C20"/>
  <c r="C40"/>
  <c r="C58"/>
  <c r="AU58"/>
  <c r="AV58" s="1"/>
  <c r="AU20"/>
  <c r="AV20" s="1"/>
  <c r="CA40"/>
  <c r="AU40"/>
  <c r="AV40" s="1"/>
  <c r="CA20"/>
  <c r="CA58"/>
  <c r="AU34"/>
  <c r="AV34" s="1"/>
  <c r="CA34"/>
  <c r="O45" i="7"/>
  <c r="N45"/>
  <c r="M45"/>
  <c r="L45"/>
  <c r="K45"/>
  <c r="J45"/>
  <c r="I45"/>
  <c r="H45"/>
  <c r="G45"/>
  <c r="B11" i="25"/>
  <c r="AX22" i="6"/>
  <c r="AZ22"/>
  <c r="BD22"/>
  <c r="BE22"/>
  <c r="BF22"/>
  <c r="BG22"/>
  <c r="BH22"/>
  <c r="BI22"/>
  <c r="BJ22"/>
  <c r="BK22"/>
  <c r="BL22"/>
  <c r="BM22"/>
  <c r="C22"/>
  <c r="BA22" l="1"/>
  <c r="AG68" i="9"/>
  <c r="AY22" i="6"/>
  <c r="AC68" i="9"/>
  <c r="BB22" i="6"/>
  <c r="BC22" s="1"/>
  <c r="BN22"/>
  <c r="AX51" l="1"/>
  <c r="AY51" s="1"/>
  <c r="AZ51"/>
  <c r="BA51" s="1"/>
  <c r="BD51"/>
  <c r="BE51"/>
  <c r="BF51"/>
  <c r="BG51"/>
  <c r="BH51"/>
  <c r="BI51"/>
  <c r="BJ51"/>
  <c r="BK51"/>
  <c r="BL51"/>
  <c r="BM51"/>
  <c r="AX82"/>
  <c r="AZ82"/>
  <c r="BD82"/>
  <c r="BE82"/>
  <c r="BF82"/>
  <c r="BG82"/>
  <c r="BH82"/>
  <c r="BI82"/>
  <c r="BJ82"/>
  <c r="BK82"/>
  <c r="BL82"/>
  <c r="BM82"/>
  <c r="C51"/>
  <c r="C82"/>
  <c r="AY82" l="1"/>
  <c r="AC68" i="34"/>
  <c r="BA82" i="6"/>
  <c r="AG68" i="34"/>
  <c r="BB51" i="6"/>
  <c r="BC51" s="1"/>
  <c r="BN82"/>
  <c r="BB82"/>
  <c r="BC82" s="1"/>
  <c r="BN51"/>
  <c r="H68" i="34" l="1"/>
  <c r="F68"/>
  <c r="G68"/>
  <c r="K46" i="7"/>
  <c r="H46"/>
  <c r="AX50" i="23"/>
  <c r="AY50" s="1"/>
  <c r="AZ50"/>
  <c r="BA50" s="1"/>
  <c r="BD50"/>
  <c r="BE50"/>
  <c r="BF50"/>
  <c r="AX24"/>
  <c r="AY24" s="1"/>
  <c r="AZ24"/>
  <c r="BA24" s="1"/>
  <c r="BD24"/>
  <c r="BE24"/>
  <c r="BF24"/>
  <c r="AX71"/>
  <c r="AY71" s="1"/>
  <c r="AZ71"/>
  <c r="BA71" s="1"/>
  <c r="BD71"/>
  <c r="BE71"/>
  <c r="BF71"/>
  <c r="AX22"/>
  <c r="AY22" s="1"/>
  <c r="AZ22"/>
  <c r="BA22" s="1"/>
  <c r="BD22"/>
  <c r="BE22"/>
  <c r="BF22"/>
  <c r="AX34"/>
  <c r="AY34" s="1"/>
  <c r="AZ34"/>
  <c r="BA34" s="1"/>
  <c r="BD34"/>
  <c r="BE34"/>
  <c r="BF34"/>
  <c r="C34"/>
  <c r="AQ68" i="5"/>
  <c r="AR68" s="1"/>
  <c r="AS68"/>
  <c r="AT68" s="1"/>
  <c r="AW68"/>
  <c r="AX68"/>
  <c r="AY68"/>
  <c r="AZ68"/>
  <c r="BA68"/>
  <c r="BB68"/>
  <c r="BC68"/>
  <c r="BD68"/>
  <c r="BE68"/>
  <c r="BF68"/>
  <c r="BG68"/>
  <c r="BH68"/>
  <c r="BI68"/>
  <c r="BJ68"/>
  <c r="BK68"/>
  <c r="BL68"/>
  <c r="BM68"/>
  <c r="BN68"/>
  <c r="BO68"/>
  <c r="BP68"/>
  <c r="BQ68"/>
  <c r="BS68"/>
  <c r="BT68"/>
  <c r="BU68"/>
  <c r="BV68"/>
  <c r="BW68"/>
  <c r="BX68"/>
  <c r="BY68"/>
  <c r="BZ68"/>
  <c r="CB68"/>
  <c r="CC68"/>
  <c r="CD68"/>
  <c r="AX17" i="6"/>
  <c r="AZ17"/>
  <c r="BD17"/>
  <c r="BE17"/>
  <c r="BF17"/>
  <c r="BG17"/>
  <c r="BH17"/>
  <c r="BI17"/>
  <c r="BJ17"/>
  <c r="BK17"/>
  <c r="BL17"/>
  <c r="BM17"/>
  <c r="AX29"/>
  <c r="AC69" i="35" s="1"/>
  <c r="AZ29" i="6"/>
  <c r="AG69" i="35" s="1"/>
  <c r="BD29" i="6"/>
  <c r="BE29"/>
  <c r="BF29"/>
  <c r="BG29"/>
  <c r="BH29"/>
  <c r="BI29"/>
  <c r="BJ29"/>
  <c r="BK29"/>
  <c r="BL29"/>
  <c r="BM29"/>
  <c r="AX28"/>
  <c r="AZ28"/>
  <c r="BD28"/>
  <c r="BE28"/>
  <c r="BF28"/>
  <c r="BG28"/>
  <c r="BH28"/>
  <c r="BI28"/>
  <c r="BJ28"/>
  <c r="BK28"/>
  <c r="BL28"/>
  <c r="BM28"/>
  <c r="AX75"/>
  <c r="AY75" s="1"/>
  <c r="AZ75"/>
  <c r="BA75" s="1"/>
  <c r="BD75"/>
  <c r="BE75"/>
  <c r="BF75"/>
  <c r="BG75"/>
  <c r="BH75"/>
  <c r="BI75"/>
  <c r="BJ75"/>
  <c r="BK75"/>
  <c r="BL75"/>
  <c r="BM75"/>
  <c r="AX26"/>
  <c r="AZ26"/>
  <c r="BD26"/>
  <c r="BE26"/>
  <c r="BF26"/>
  <c r="BG26"/>
  <c r="BH26"/>
  <c r="BI26"/>
  <c r="BJ26"/>
  <c r="BK26"/>
  <c r="BL26"/>
  <c r="BM26"/>
  <c r="AX60"/>
  <c r="AZ60"/>
  <c r="BD60"/>
  <c r="BE60"/>
  <c r="BF60"/>
  <c r="BG60"/>
  <c r="BH60"/>
  <c r="BI60"/>
  <c r="BJ60"/>
  <c r="BK60"/>
  <c r="BL60"/>
  <c r="BM60"/>
  <c r="AX46"/>
  <c r="AZ46"/>
  <c r="BD46"/>
  <c r="BE46"/>
  <c r="BF46"/>
  <c r="BG46"/>
  <c r="BH46"/>
  <c r="BI46"/>
  <c r="BJ46"/>
  <c r="BK46"/>
  <c r="BL46"/>
  <c r="BM46"/>
  <c r="AX12"/>
  <c r="AZ12"/>
  <c r="BD12"/>
  <c r="BE12"/>
  <c r="BF12"/>
  <c r="BG12"/>
  <c r="BH12"/>
  <c r="BI12"/>
  <c r="BJ12"/>
  <c r="BK12"/>
  <c r="BL12"/>
  <c r="BM12"/>
  <c r="AX20"/>
  <c r="AC61" i="35" s="1"/>
  <c r="AZ20" i="6"/>
  <c r="AG61" i="35" s="1"/>
  <c r="BD20" i="6"/>
  <c r="BE20"/>
  <c r="BF20"/>
  <c r="BG20"/>
  <c r="BH20"/>
  <c r="BI20"/>
  <c r="BJ20"/>
  <c r="BK20"/>
  <c r="BL20"/>
  <c r="BM20"/>
  <c r="AX86"/>
  <c r="AY86" s="1"/>
  <c r="AZ86"/>
  <c r="BA86" s="1"/>
  <c r="BD86"/>
  <c r="BE86"/>
  <c r="BF86"/>
  <c r="BG86"/>
  <c r="BH86"/>
  <c r="BI86"/>
  <c r="BJ86"/>
  <c r="BK86"/>
  <c r="BL86"/>
  <c r="BM86"/>
  <c r="AX58"/>
  <c r="AZ58"/>
  <c r="BD58"/>
  <c r="BE58"/>
  <c r="BF58"/>
  <c r="BG58"/>
  <c r="BH58"/>
  <c r="BI58"/>
  <c r="BJ58"/>
  <c r="BK58"/>
  <c r="BL58"/>
  <c r="BM58"/>
  <c r="AX18"/>
  <c r="AZ18"/>
  <c r="BD18"/>
  <c r="BE18"/>
  <c r="BF18"/>
  <c r="BG18"/>
  <c r="BH18"/>
  <c r="BI18"/>
  <c r="BJ18"/>
  <c r="BK18"/>
  <c r="BL18"/>
  <c r="BM18"/>
  <c r="AX83"/>
  <c r="AZ83"/>
  <c r="BD83"/>
  <c r="BE83"/>
  <c r="BF83"/>
  <c r="BG83"/>
  <c r="BH83"/>
  <c r="BI83"/>
  <c r="BJ83"/>
  <c r="BK83"/>
  <c r="BL83"/>
  <c r="BM83"/>
  <c r="AX85"/>
  <c r="AZ85"/>
  <c r="BD85"/>
  <c r="BE85"/>
  <c r="BF85"/>
  <c r="BG85"/>
  <c r="BH85"/>
  <c r="BI85"/>
  <c r="BJ85"/>
  <c r="BK85"/>
  <c r="BL85"/>
  <c r="BM85"/>
  <c r="AX79"/>
  <c r="AZ79"/>
  <c r="BD79"/>
  <c r="BE79"/>
  <c r="BF79"/>
  <c r="BG79"/>
  <c r="BH79"/>
  <c r="BI79"/>
  <c r="BJ79"/>
  <c r="BK79"/>
  <c r="BL79"/>
  <c r="BM79"/>
  <c r="AC67" i="35"/>
  <c r="AG67"/>
  <c r="AX19" i="6"/>
  <c r="AZ19"/>
  <c r="BD19"/>
  <c r="BE19"/>
  <c r="BF19"/>
  <c r="BG19"/>
  <c r="BH19"/>
  <c r="BI19"/>
  <c r="BJ19"/>
  <c r="BK19"/>
  <c r="BL19"/>
  <c r="BM19"/>
  <c r="AX78"/>
  <c r="AY78" s="1"/>
  <c r="AZ78"/>
  <c r="BA78" s="1"/>
  <c r="BD78"/>
  <c r="BE78"/>
  <c r="BF78"/>
  <c r="BG78"/>
  <c r="BH78"/>
  <c r="BI78"/>
  <c r="BJ78"/>
  <c r="BK78"/>
  <c r="BL78"/>
  <c r="BM78"/>
  <c r="AX40"/>
  <c r="AY40" s="1"/>
  <c r="AZ40"/>
  <c r="BA40" s="1"/>
  <c r="BD40"/>
  <c r="BE40"/>
  <c r="BF40"/>
  <c r="BG40"/>
  <c r="BH40"/>
  <c r="BI40"/>
  <c r="BJ40"/>
  <c r="BK40"/>
  <c r="BL40"/>
  <c r="BM40"/>
  <c r="AX66"/>
  <c r="AY66" s="1"/>
  <c r="AZ66"/>
  <c r="BA66" s="1"/>
  <c r="BD66"/>
  <c r="BE66"/>
  <c r="BF66"/>
  <c r="BG66"/>
  <c r="BH66"/>
  <c r="BI66"/>
  <c r="BJ66"/>
  <c r="BK66"/>
  <c r="BL66"/>
  <c r="BM66"/>
  <c r="AX71"/>
  <c r="AZ71"/>
  <c r="BD71"/>
  <c r="BE71"/>
  <c r="BF71"/>
  <c r="BG71"/>
  <c r="BH71"/>
  <c r="BI71"/>
  <c r="BJ71"/>
  <c r="BK71"/>
  <c r="BL71"/>
  <c r="BM71"/>
  <c r="AX16"/>
  <c r="AC68" i="35" s="1"/>
  <c r="AZ16" i="6"/>
  <c r="AG68" i="35" s="1"/>
  <c r="BD16" i="6"/>
  <c r="BE16"/>
  <c r="BF16"/>
  <c r="BG16"/>
  <c r="BH16"/>
  <c r="BI16"/>
  <c r="BJ16"/>
  <c r="BK16"/>
  <c r="BL16"/>
  <c r="BM16"/>
  <c r="AX74"/>
  <c r="AY74" s="1"/>
  <c r="AZ74"/>
  <c r="BA74" s="1"/>
  <c r="BD74"/>
  <c r="BE74"/>
  <c r="BF74"/>
  <c r="BG74"/>
  <c r="BH74"/>
  <c r="BI74"/>
  <c r="BJ74"/>
  <c r="BK74"/>
  <c r="BL74"/>
  <c r="BM74"/>
  <c r="AX49"/>
  <c r="AZ49"/>
  <c r="BD49"/>
  <c r="BE49"/>
  <c r="BF49"/>
  <c r="BG49"/>
  <c r="BH49"/>
  <c r="BI49"/>
  <c r="BJ49"/>
  <c r="BK49"/>
  <c r="BL49"/>
  <c r="BM49"/>
  <c r="AX68"/>
  <c r="AZ68"/>
  <c r="BD68"/>
  <c r="BE68"/>
  <c r="BF68"/>
  <c r="BG68"/>
  <c r="BH68"/>
  <c r="BI68"/>
  <c r="BJ68"/>
  <c r="BK68"/>
  <c r="BL68"/>
  <c r="BM68"/>
  <c r="AX44"/>
  <c r="AY44" s="1"/>
  <c r="AZ44"/>
  <c r="BA44" s="1"/>
  <c r="BD44"/>
  <c r="BE44"/>
  <c r="BF44"/>
  <c r="BG44"/>
  <c r="BH44"/>
  <c r="BI44"/>
  <c r="BJ44"/>
  <c r="BK44"/>
  <c r="BL44"/>
  <c r="BM44"/>
  <c r="AX13"/>
  <c r="AC62" i="35" s="1"/>
  <c r="AZ13" i="6"/>
  <c r="AG62" i="35" s="1"/>
  <c r="BD13" i="6"/>
  <c r="BE13"/>
  <c r="BF13"/>
  <c r="BG13"/>
  <c r="BH13"/>
  <c r="BI13"/>
  <c r="BJ13"/>
  <c r="BK13"/>
  <c r="BL13"/>
  <c r="BM13"/>
  <c r="AX92"/>
  <c r="AY92" s="1"/>
  <c r="AZ92"/>
  <c r="BA92" s="1"/>
  <c r="BD92"/>
  <c r="BE92"/>
  <c r="BF92"/>
  <c r="BG92"/>
  <c r="BH92"/>
  <c r="BI92"/>
  <c r="BJ92"/>
  <c r="BK92"/>
  <c r="BL92"/>
  <c r="BM92"/>
  <c r="AX67"/>
  <c r="AZ67"/>
  <c r="BD67"/>
  <c r="BE67"/>
  <c r="BF67"/>
  <c r="BG67"/>
  <c r="BH67"/>
  <c r="BI67"/>
  <c r="BJ67"/>
  <c r="BK67"/>
  <c r="BL67"/>
  <c r="BM67"/>
  <c r="AX73"/>
  <c r="AY73" s="1"/>
  <c r="AZ73"/>
  <c r="BA73" s="1"/>
  <c r="BD73"/>
  <c r="BE73"/>
  <c r="BF73"/>
  <c r="BG73"/>
  <c r="BH73"/>
  <c r="BI73"/>
  <c r="BJ73"/>
  <c r="BK73"/>
  <c r="BL73"/>
  <c r="BM73"/>
  <c r="AX50"/>
  <c r="AC69" i="32" s="1"/>
  <c r="AZ50" i="6"/>
  <c r="AG69" i="32" s="1"/>
  <c r="BD50" i="6"/>
  <c r="BE50"/>
  <c r="BF50"/>
  <c r="BG50"/>
  <c r="BH50"/>
  <c r="BI50"/>
  <c r="BJ50"/>
  <c r="BK50"/>
  <c r="BL50"/>
  <c r="BM50"/>
  <c r="AX87"/>
  <c r="AZ87"/>
  <c r="BD87"/>
  <c r="BE87"/>
  <c r="BF87"/>
  <c r="BG87"/>
  <c r="BH87"/>
  <c r="BI87"/>
  <c r="BJ87"/>
  <c r="BK87"/>
  <c r="BL87"/>
  <c r="BM87"/>
  <c r="AX48"/>
  <c r="AY48" s="1"/>
  <c r="AZ48"/>
  <c r="BA48" s="1"/>
  <c r="BD48"/>
  <c r="BE48"/>
  <c r="BF48"/>
  <c r="BG48"/>
  <c r="BH48"/>
  <c r="BI48"/>
  <c r="BJ48"/>
  <c r="BK48"/>
  <c r="BL48"/>
  <c r="BM48"/>
  <c r="AX32"/>
  <c r="AZ32"/>
  <c r="BD32"/>
  <c r="BE32"/>
  <c r="BF32"/>
  <c r="BG32"/>
  <c r="BH32"/>
  <c r="BI32"/>
  <c r="BJ32"/>
  <c r="BK32"/>
  <c r="BL32"/>
  <c r="BM32"/>
  <c r="AX36"/>
  <c r="AY36" s="1"/>
  <c r="AZ36"/>
  <c r="BA36" s="1"/>
  <c r="BD36"/>
  <c r="BE36"/>
  <c r="BF36"/>
  <c r="BG36"/>
  <c r="BH36"/>
  <c r="BI36"/>
  <c r="BJ36"/>
  <c r="BK36"/>
  <c r="BL36"/>
  <c r="BM36"/>
  <c r="AX38"/>
  <c r="AY38" s="1"/>
  <c r="AZ38"/>
  <c r="BA38" s="1"/>
  <c r="BD38"/>
  <c r="BE38"/>
  <c r="BF38"/>
  <c r="BG38"/>
  <c r="BH38"/>
  <c r="BI38"/>
  <c r="BJ38"/>
  <c r="BK38"/>
  <c r="BL38"/>
  <c r="BM38"/>
  <c r="AX64"/>
  <c r="AZ64"/>
  <c r="BD64"/>
  <c r="BE64"/>
  <c r="BF64"/>
  <c r="BG64"/>
  <c r="BH64"/>
  <c r="BI64"/>
  <c r="BJ64"/>
  <c r="BK64"/>
  <c r="BL64"/>
  <c r="BM64"/>
  <c r="AX77"/>
  <c r="AZ77"/>
  <c r="BD77"/>
  <c r="BE77"/>
  <c r="BF77"/>
  <c r="BG77"/>
  <c r="BH77"/>
  <c r="BI77"/>
  <c r="BJ77"/>
  <c r="BK77"/>
  <c r="BL77"/>
  <c r="BM77"/>
  <c r="AX88"/>
  <c r="AZ88"/>
  <c r="BD88"/>
  <c r="BE88"/>
  <c r="BF88"/>
  <c r="BG88"/>
  <c r="BH88"/>
  <c r="BI88"/>
  <c r="BJ88"/>
  <c r="BK88"/>
  <c r="BL88"/>
  <c r="BM88"/>
  <c r="AX21"/>
  <c r="AC68" i="33" s="1"/>
  <c r="AZ21" i="6"/>
  <c r="AG68" i="33" s="1"/>
  <c r="BD21" i="6"/>
  <c r="BE21"/>
  <c r="BF21"/>
  <c r="BG21"/>
  <c r="BH21"/>
  <c r="BI21"/>
  <c r="BJ21"/>
  <c r="BK21"/>
  <c r="BL21"/>
  <c r="BM21"/>
  <c r="AX62"/>
  <c r="AY62" s="1"/>
  <c r="AZ62"/>
  <c r="BA62" s="1"/>
  <c r="BD62"/>
  <c r="BE62"/>
  <c r="BF62"/>
  <c r="BG62"/>
  <c r="BH62"/>
  <c r="BI62"/>
  <c r="BJ62"/>
  <c r="BK62"/>
  <c r="BL62"/>
  <c r="BM62"/>
  <c r="AX90"/>
  <c r="AZ90"/>
  <c r="BD90"/>
  <c r="BE90"/>
  <c r="BF90"/>
  <c r="BG90"/>
  <c r="BH90"/>
  <c r="BI90"/>
  <c r="BJ90"/>
  <c r="BK90"/>
  <c r="BL90"/>
  <c r="BM90"/>
  <c r="AX91"/>
  <c r="AY91" s="1"/>
  <c r="AZ91"/>
  <c r="BA91" s="1"/>
  <c r="BD91"/>
  <c r="BE91"/>
  <c r="BF91"/>
  <c r="BG91"/>
  <c r="BH91"/>
  <c r="BI91"/>
  <c r="BJ91"/>
  <c r="BK91"/>
  <c r="BL91"/>
  <c r="BM91"/>
  <c r="AX43"/>
  <c r="AY43" s="1"/>
  <c r="AZ43"/>
  <c r="BA43" s="1"/>
  <c r="BD43"/>
  <c r="BE43"/>
  <c r="BF43"/>
  <c r="BG43"/>
  <c r="BH43"/>
  <c r="BI43"/>
  <c r="BJ43"/>
  <c r="BK43"/>
  <c r="BL43"/>
  <c r="BM43"/>
  <c r="AX37"/>
  <c r="AZ37"/>
  <c r="BD37"/>
  <c r="BE37"/>
  <c r="BF37"/>
  <c r="BG37"/>
  <c r="BH37"/>
  <c r="BI37"/>
  <c r="BJ37"/>
  <c r="BK37"/>
  <c r="BL37"/>
  <c r="BM37"/>
  <c r="AX63"/>
  <c r="AZ63"/>
  <c r="BD63"/>
  <c r="BE63"/>
  <c r="BF63"/>
  <c r="BG63"/>
  <c r="BH63"/>
  <c r="BI63"/>
  <c r="BJ63"/>
  <c r="BK63"/>
  <c r="BL63"/>
  <c r="BM63"/>
  <c r="AX11"/>
  <c r="AZ11"/>
  <c r="BD11"/>
  <c r="BE11"/>
  <c r="BF11"/>
  <c r="BG11"/>
  <c r="BH11"/>
  <c r="BI11"/>
  <c r="BJ11"/>
  <c r="BK11"/>
  <c r="BL11"/>
  <c r="AX33"/>
  <c r="AZ33"/>
  <c r="BD33"/>
  <c r="BE33"/>
  <c r="BF33"/>
  <c r="BG33"/>
  <c r="BH33"/>
  <c r="BI33"/>
  <c r="BJ33"/>
  <c r="BK33"/>
  <c r="BL33"/>
  <c r="BM33"/>
  <c r="AX69"/>
  <c r="AY69" s="1"/>
  <c r="AZ69"/>
  <c r="BA69" s="1"/>
  <c r="BD69"/>
  <c r="BE69"/>
  <c r="BF69"/>
  <c r="BG69"/>
  <c r="BH69"/>
  <c r="BI69"/>
  <c r="BJ69"/>
  <c r="BK69"/>
  <c r="BL69"/>
  <c r="BM69"/>
  <c r="AX39"/>
  <c r="AY39" s="1"/>
  <c r="AZ39"/>
  <c r="BD39"/>
  <c r="BE39"/>
  <c r="BF39"/>
  <c r="BG39"/>
  <c r="BH39"/>
  <c r="BI39"/>
  <c r="BJ39"/>
  <c r="BK39"/>
  <c r="BL39"/>
  <c r="BM39"/>
  <c r="AX89"/>
  <c r="AY89" s="1"/>
  <c r="AZ89"/>
  <c r="BA89" s="1"/>
  <c r="BD89"/>
  <c r="BE89"/>
  <c r="BF89"/>
  <c r="BG89"/>
  <c r="BH89"/>
  <c r="BI89"/>
  <c r="BJ89"/>
  <c r="BK89"/>
  <c r="BL89"/>
  <c r="BM89"/>
  <c r="AX14"/>
  <c r="AZ14"/>
  <c r="BD14"/>
  <c r="BE14"/>
  <c r="BF14"/>
  <c r="BG14"/>
  <c r="BH14"/>
  <c r="BI14"/>
  <c r="BJ14"/>
  <c r="BK14"/>
  <c r="BL14"/>
  <c r="BM14"/>
  <c r="AX27"/>
  <c r="AC53" i="35" s="1"/>
  <c r="AZ27" i="6"/>
  <c r="BD27"/>
  <c r="BE27"/>
  <c r="BF27"/>
  <c r="BG27"/>
  <c r="BH27"/>
  <c r="BI27"/>
  <c r="BJ27"/>
  <c r="BK27"/>
  <c r="BL27"/>
  <c r="BM27"/>
  <c r="AX57"/>
  <c r="AZ57"/>
  <c r="BD57"/>
  <c r="BE57"/>
  <c r="BF57"/>
  <c r="BG57"/>
  <c r="BH57"/>
  <c r="BI57"/>
  <c r="BJ57"/>
  <c r="BK57"/>
  <c r="BL57"/>
  <c r="BM57"/>
  <c r="AX35"/>
  <c r="AZ35"/>
  <c r="BD35"/>
  <c r="BE35"/>
  <c r="BF35"/>
  <c r="BG35"/>
  <c r="BH35"/>
  <c r="BI35"/>
  <c r="BJ35"/>
  <c r="BK35"/>
  <c r="BL35"/>
  <c r="BM35"/>
  <c r="AX61"/>
  <c r="AZ61"/>
  <c r="BD61"/>
  <c r="BE61"/>
  <c r="BF61"/>
  <c r="BG61"/>
  <c r="BH61"/>
  <c r="BI61"/>
  <c r="BJ61"/>
  <c r="BK61"/>
  <c r="BL61"/>
  <c r="BM61"/>
  <c r="AX24"/>
  <c r="AZ24"/>
  <c r="BD24"/>
  <c r="BE24"/>
  <c r="BF24"/>
  <c r="BG24"/>
  <c r="BH24"/>
  <c r="BI24"/>
  <c r="BJ24"/>
  <c r="BK24"/>
  <c r="BL24"/>
  <c r="BM24"/>
  <c r="AQ24" i="5"/>
  <c r="AR24" s="1"/>
  <c r="AS24"/>
  <c r="AT24" s="1"/>
  <c r="AW24"/>
  <c r="AX24"/>
  <c r="AY24"/>
  <c r="AZ24"/>
  <c r="BA24"/>
  <c r="BB24"/>
  <c r="BC24"/>
  <c r="BD24"/>
  <c r="BE24"/>
  <c r="BF24"/>
  <c r="BG24"/>
  <c r="BH24"/>
  <c r="BI24"/>
  <c r="BJ24"/>
  <c r="BK24"/>
  <c r="BL24"/>
  <c r="BM24"/>
  <c r="BN24"/>
  <c r="BO24"/>
  <c r="BP24"/>
  <c r="BQ24"/>
  <c r="BS24"/>
  <c r="BT24"/>
  <c r="BU24"/>
  <c r="BV24"/>
  <c r="BW24"/>
  <c r="BX24"/>
  <c r="BY24"/>
  <c r="BZ24"/>
  <c r="CB24"/>
  <c r="CC24"/>
  <c r="CD24"/>
  <c r="AQ30"/>
  <c r="AR30" s="1"/>
  <c r="AS30"/>
  <c r="AT30" s="1"/>
  <c r="AW30"/>
  <c r="AX30"/>
  <c r="AY30"/>
  <c r="AZ30"/>
  <c r="BA30"/>
  <c r="BB30"/>
  <c r="BC30"/>
  <c r="BD30"/>
  <c r="BE30"/>
  <c r="BF30"/>
  <c r="BG30"/>
  <c r="BH30"/>
  <c r="BI30"/>
  <c r="BJ30"/>
  <c r="BK30"/>
  <c r="BL30"/>
  <c r="BM30"/>
  <c r="BN30"/>
  <c r="BO30"/>
  <c r="BP30"/>
  <c r="BQ30"/>
  <c r="BS30"/>
  <c r="BT30"/>
  <c r="BU30"/>
  <c r="BV30"/>
  <c r="BW30"/>
  <c r="BX30"/>
  <c r="BY30"/>
  <c r="BZ30"/>
  <c r="CB30"/>
  <c r="CC30"/>
  <c r="CD30"/>
  <c r="AQ67"/>
  <c r="AR67" s="1"/>
  <c r="AS67"/>
  <c r="AT67" s="1"/>
  <c r="AW67"/>
  <c r="AX67"/>
  <c r="AY67"/>
  <c r="AZ67"/>
  <c r="BA67"/>
  <c r="BB67"/>
  <c r="BC67"/>
  <c r="BD67"/>
  <c r="BE67"/>
  <c r="BF67"/>
  <c r="BG67"/>
  <c r="BH67"/>
  <c r="BI67"/>
  <c r="BJ67"/>
  <c r="BK67"/>
  <c r="BL67"/>
  <c r="BM67"/>
  <c r="BN67"/>
  <c r="BO67"/>
  <c r="BP67"/>
  <c r="BQ67"/>
  <c r="BS67"/>
  <c r="BT67"/>
  <c r="BU67"/>
  <c r="BV67"/>
  <c r="BW67"/>
  <c r="BX67"/>
  <c r="BY67"/>
  <c r="BZ67"/>
  <c r="CB67"/>
  <c r="CC67"/>
  <c r="CD67"/>
  <c r="AQ12"/>
  <c r="AR12" s="1"/>
  <c r="AS12"/>
  <c r="AT12" s="1"/>
  <c r="AW12"/>
  <c r="AX12"/>
  <c r="AY12"/>
  <c r="AZ12"/>
  <c r="BA12"/>
  <c r="BB12"/>
  <c r="BC12"/>
  <c r="BD12"/>
  <c r="BE12"/>
  <c r="BF12"/>
  <c r="BG12"/>
  <c r="BH12"/>
  <c r="BI12"/>
  <c r="BJ12"/>
  <c r="BK12"/>
  <c r="BL12"/>
  <c r="BM12"/>
  <c r="BN12"/>
  <c r="BO12"/>
  <c r="BP12"/>
  <c r="BQ12"/>
  <c r="BS12"/>
  <c r="BT12"/>
  <c r="BU12"/>
  <c r="BV12"/>
  <c r="BW12"/>
  <c r="BX12"/>
  <c r="BY12"/>
  <c r="BZ12"/>
  <c r="CB12"/>
  <c r="CC12"/>
  <c r="CD12"/>
  <c r="AQ23"/>
  <c r="AR23" s="1"/>
  <c r="AS23"/>
  <c r="AT23" s="1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S23"/>
  <c r="BT23"/>
  <c r="BU23"/>
  <c r="BV23"/>
  <c r="BW23"/>
  <c r="BX23"/>
  <c r="BY23"/>
  <c r="BZ23"/>
  <c r="CB23"/>
  <c r="CC23"/>
  <c r="CD23"/>
  <c r="AQ11"/>
  <c r="AR11" s="1"/>
  <c r="AS11"/>
  <c r="AT11" s="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BS11"/>
  <c r="BT11"/>
  <c r="BU11"/>
  <c r="BV11"/>
  <c r="BW11"/>
  <c r="BX11"/>
  <c r="BY11"/>
  <c r="BZ11"/>
  <c r="CB11"/>
  <c r="CC11"/>
  <c r="CD11"/>
  <c r="AQ28"/>
  <c r="AR28" s="1"/>
  <c r="AS28"/>
  <c r="AT28" s="1"/>
  <c r="AW28"/>
  <c r="AX28"/>
  <c r="AY28"/>
  <c r="AZ28"/>
  <c r="BA28"/>
  <c r="BB28"/>
  <c r="BC28"/>
  <c r="BD28"/>
  <c r="BE28"/>
  <c r="BF28"/>
  <c r="BG28"/>
  <c r="BH28"/>
  <c r="BI28"/>
  <c r="BJ28"/>
  <c r="BK28"/>
  <c r="BL28"/>
  <c r="BM28"/>
  <c r="BN28"/>
  <c r="BO28"/>
  <c r="BP28"/>
  <c r="BQ28"/>
  <c r="BS28"/>
  <c r="BT28"/>
  <c r="BU28"/>
  <c r="BV28"/>
  <c r="BW28"/>
  <c r="BX28"/>
  <c r="BY28"/>
  <c r="BZ28"/>
  <c r="CB28"/>
  <c r="CC28"/>
  <c r="CD28"/>
  <c r="AQ71"/>
  <c r="AR71" s="1"/>
  <c r="AS71"/>
  <c r="AT71" s="1"/>
  <c r="AW71"/>
  <c r="AX71"/>
  <c r="AY71"/>
  <c r="AZ71"/>
  <c r="BA71"/>
  <c r="BB71"/>
  <c r="BC71"/>
  <c r="BD71"/>
  <c r="BE71"/>
  <c r="BF71"/>
  <c r="BG71"/>
  <c r="BH71"/>
  <c r="BI71"/>
  <c r="BJ71"/>
  <c r="BK71"/>
  <c r="BL71"/>
  <c r="BM71"/>
  <c r="BN71"/>
  <c r="BO71"/>
  <c r="BP71"/>
  <c r="BQ71"/>
  <c r="BS71"/>
  <c r="BT71"/>
  <c r="BU71"/>
  <c r="BV71"/>
  <c r="BW71"/>
  <c r="BX71"/>
  <c r="BY71"/>
  <c r="BZ71"/>
  <c r="CB71"/>
  <c r="CC71"/>
  <c r="CD71"/>
  <c r="AQ59"/>
  <c r="AR59" s="1"/>
  <c r="AS59"/>
  <c r="AT59" s="1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BS59"/>
  <c r="BT59"/>
  <c r="BU59"/>
  <c r="BV59"/>
  <c r="BW59"/>
  <c r="BX59"/>
  <c r="BY59"/>
  <c r="BZ59"/>
  <c r="CB59"/>
  <c r="CC59"/>
  <c r="CD59"/>
  <c r="AQ56"/>
  <c r="AR56" s="1"/>
  <c r="AS56"/>
  <c r="AT56" s="1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S56"/>
  <c r="BT56"/>
  <c r="BU56"/>
  <c r="BV56"/>
  <c r="BW56"/>
  <c r="BX56"/>
  <c r="BY56"/>
  <c r="BZ56"/>
  <c r="CB56"/>
  <c r="CC56"/>
  <c r="CD56"/>
  <c r="AQ29"/>
  <c r="AR29" s="1"/>
  <c r="AS29"/>
  <c r="AT29" s="1"/>
  <c r="AW29"/>
  <c r="AX29"/>
  <c r="AY29"/>
  <c r="AZ29"/>
  <c r="BA29"/>
  <c r="BB29"/>
  <c r="BC29"/>
  <c r="BD29"/>
  <c r="BE29"/>
  <c r="BF29"/>
  <c r="BG29"/>
  <c r="BH29"/>
  <c r="BI29"/>
  <c r="BJ29"/>
  <c r="BK29"/>
  <c r="BL29"/>
  <c r="BM29"/>
  <c r="BN29"/>
  <c r="BO29"/>
  <c r="BP29"/>
  <c r="BQ29"/>
  <c r="BS29"/>
  <c r="BT29"/>
  <c r="BU29"/>
  <c r="BV29"/>
  <c r="BW29"/>
  <c r="BX29"/>
  <c r="BY29"/>
  <c r="BZ29"/>
  <c r="CB29"/>
  <c r="CC29"/>
  <c r="CD29"/>
  <c r="AQ54"/>
  <c r="AR54" s="1"/>
  <c r="AS54"/>
  <c r="AT54" s="1"/>
  <c r="AW54"/>
  <c r="AX54"/>
  <c r="AY54"/>
  <c r="AZ54"/>
  <c r="BA54"/>
  <c r="BB54"/>
  <c r="BC54"/>
  <c r="BD54"/>
  <c r="BE54"/>
  <c r="BF54"/>
  <c r="BG54"/>
  <c r="BH54"/>
  <c r="BI54"/>
  <c r="BJ54"/>
  <c r="BK54"/>
  <c r="BL54"/>
  <c r="BM54"/>
  <c r="BN54"/>
  <c r="BO54"/>
  <c r="BP54"/>
  <c r="BQ54"/>
  <c r="BS54"/>
  <c r="BT54"/>
  <c r="BU54"/>
  <c r="BV54"/>
  <c r="BW54"/>
  <c r="BX54"/>
  <c r="BY54"/>
  <c r="BZ54"/>
  <c r="CB54"/>
  <c r="CC54"/>
  <c r="CD54"/>
  <c r="AQ36"/>
  <c r="AR36" s="1"/>
  <c r="AS36"/>
  <c r="AT36" s="1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S36"/>
  <c r="BT36"/>
  <c r="BU36"/>
  <c r="BV36"/>
  <c r="BW36"/>
  <c r="BX36"/>
  <c r="BY36"/>
  <c r="BZ36"/>
  <c r="CB36"/>
  <c r="CC36"/>
  <c r="CD36"/>
  <c r="AQ64"/>
  <c r="AR64" s="1"/>
  <c r="AS64"/>
  <c r="AT64" s="1"/>
  <c r="AW64"/>
  <c r="AX64"/>
  <c r="AY64"/>
  <c r="AZ64"/>
  <c r="BA64"/>
  <c r="BB64"/>
  <c r="BC64"/>
  <c r="BD64"/>
  <c r="BE64"/>
  <c r="BF64"/>
  <c r="BG64"/>
  <c r="BH64"/>
  <c r="BI64"/>
  <c r="BJ64"/>
  <c r="BK64"/>
  <c r="BL64"/>
  <c r="BM64"/>
  <c r="BN64"/>
  <c r="BO64"/>
  <c r="BP64"/>
  <c r="BQ64"/>
  <c r="BS64"/>
  <c r="BT64"/>
  <c r="BU64"/>
  <c r="BV64"/>
  <c r="BW64"/>
  <c r="BX64"/>
  <c r="BY64"/>
  <c r="BZ64"/>
  <c r="CB64"/>
  <c r="CC64"/>
  <c r="CD64"/>
  <c r="AQ65"/>
  <c r="AR65" s="1"/>
  <c r="AS65"/>
  <c r="AT65" s="1"/>
  <c r="AW65"/>
  <c r="AX65"/>
  <c r="AY65"/>
  <c r="AZ65"/>
  <c r="BA65"/>
  <c r="BB65"/>
  <c r="BC65"/>
  <c r="BD65"/>
  <c r="BE65"/>
  <c r="BF65"/>
  <c r="BG65"/>
  <c r="BH65"/>
  <c r="BI65"/>
  <c r="BJ65"/>
  <c r="BK65"/>
  <c r="BL65"/>
  <c r="BM65"/>
  <c r="BN65"/>
  <c r="BO65"/>
  <c r="BP65"/>
  <c r="BQ65"/>
  <c r="BS65"/>
  <c r="BT65"/>
  <c r="BU65"/>
  <c r="BV65"/>
  <c r="BW65"/>
  <c r="BX65"/>
  <c r="BY65"/>
  <c r="BZ65"/>
  <c r="CB65"/>
  <c r="CC65"/>
  <c r="CD65"/>
  <c r="AQ39"/>
  <c r="AR39" s="1"/>
  <c r="AS39"/>
  <c r="AT39" s="1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S39"/>
  <c r="BT39"/>
  <c r="BU39"/>
  <c r="BV39"/>
  <c r="BW39"/>
  <c r="BX39"/>
  <c r="BY39"/>
  <c r="BZ39"/>
  <c r="CB39"/>
  <c r="CC39"/>
  <c r="CD39"/>
  <c r="AQ69"/>
  <c r="AR69" s="1"/>
  <c r="AS69"/>
  <c r="AT69" s="1"/>
  <c r="AW69"/>
  <c r="AX69"/>
  <c r="AY69"/>
  <c r="AZ69"/>
  <c r="BA69"/>
  <c r="BB69"/>
  <c r="BC69"/>
  <c r="BD69"/>
  <c r="BE69"/>
  <c r="BF69"/>
  <c r="BG69"/>
  <c r="BH69"/>
  <c r="BI69"/>
  <c r="BJ69"/>
  <c r="BK69"/>
  <c r="BL69"/>
  <c r="BM69"/>
  <c r="BN69"/>
  <c r="BO69"/>
  <c r="BP69"/>
  <c r="BQ69"/>
  <c r="BS69"/>
  <c r="BT69"/>
  <c r="BU69"/>
  <c r="BV69"/>
  <c r="BW69"/>
  <c r="BX69"/>
  <c r="BY69"/>
  <c r="BZ69"/>
  <c r="CB69"/>
  <c r="CC69"/>
  <c r="CD69"/>
  <c r="AQ33"/>
  <c r="AR33" s="1"/>
  <c r="AS33"/>
  <c r="AT33" s="1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S33"/>
  <c r="BT33"/>
  <c r="BU33"/>
  <c r="BV33"/>
  <c r="BW33"/>
  <c r="BX33"/>
  <c r="BY33"/>
  <c r="BZ33"/>
  <c r="CB33"/>
  <c r="CC33"/>
  <c r="CD33"/>
  <c r="AQ21"/>
  <c r="AR21" s="1"/>
  <c r="AS21"/>
  <c r="AT21" s="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S21"/>
  <c r="BT21"/>
  <c r="BU21"/>
  <c r="BV21"/>
  <c r="BW21"/>
  <c r="BX21"/>
  <c r="BY21"/>
  <c r="BZ21"/>
  <c r="CB21"/>
  <c r="CC21"/>
  <c r="CD21"/>
  <c r="AQ72"/>
  <c r="AR72" s="1"/>
  <c r="AS72"/>
  <c r="AT72" s="1"/>
  <c r="AW72"/>
  <c r="AX72"/>
  <c r="AY72"/>
  <c r="AZ72"/>
  <c r="BA72"/>
  <c r="BB72"/>
  <c r="BC72"/>
  <c r="BD72"/>
  <c r="BE72"/>
  <c r="BF72"/>
  <c r="BG72"/>
  <c r="BH72"/>
  <c r="BI72"/>
  <c r="BJ72"/>
  <c r="BK72"/>
  <c r="BL72"/>
  <c r="BM72"/>
  <c r="BN72"/>
  <c r="BO72"/>
  <c r="BP72"/>
  <c r="BQ72"/>
  <c r="BS72"/>
  <c r="BT72"/>
  <c r="BU72"/>
  <c r="BV72"/>
  <c r="BW72"/>
  <c r="BX72"/>
  <c r="BY72"/>
  <c r="BZ72"/>
  <c r="CB72"/>
  <c r="CC72"/>
  <c r="CD72"/>
  <c r="AQ18"/>
  <c r="AR18" s="1"/>
  <c r="AS18"/>
  <c r="AT18" s="1"/>
  <c r="AW18"/>
  <c r="AX18"/>
  <c r="AY18"/>
  <c r="AZ18"/>
  <c r="BA18"/>
  <c r="BB18"/>
  <c r="BC18"/>
  <c r="BD18"/>
  <c r="BE18"/>
  <c r="BF18"/>
  <c r="BG18"/>
  <c r="BH18"/>
  <c r="BI18"/>
  <c r="BJ18"/>
  <c r="BK18"/>
  <c r="BL18"/>
  <c r="BM18"/>
  <c r="BN18"/>
  <c r="BO18"/>
  <c r="BP18"/>
  <c r="BQ18"/>
  <c r="BS18"/>
  <c r="BT18"/>
  <c r="BU18"/>
  <c r="BV18"/>
  <c r="BW18"/>
  <c r="BX18"/>
  <c r="BY18"/>
  <c r="BZ18"/>
  <c r="CB18"/>
  <c r="CC18"/>
  <c r="CD18"/>
  <c r="AQ27"/>
  <c r="AR27" s="1"/>
  <c r="AS27"/>
  <c r="AT27" s="1"/>
  <c r="AW27"/>
  <c r="AX27"/>
  <c r="AY27"/>
  <c r="AZ27"/>
  <c r="BA27"/>
  <c r="BB27"/>
  <c r="BC27"/>
  <c r="BD27"/>
  <c r="BE27"/>
  <c r="BF27"/>
  <c r="BG27"/>
  <c r="BH27"/>
  <c r="BI27"/>
  <c r="BJ27"/>
  <c r="BK27"/>
  <c r="BL27"/>
  <c r="BM27"/>
  <c r="BN27"/>
  <c r="BO27"/>
  <c r="BP27"/>
  <c r="BQ27"/>
  <c r="BS27"/>
  <c r="BT27"/>
  <c r="BU27"/>
  <c r="BV27"/>
  <c r="BW27"/>
  <c r="BX27"/>
  <c r="BY27"/>
  <c r="BZ27"/>
  <c r="CB27"/>
  <c r="CC27"/>
  <c r="CD27"/>
  <c r="AQ17"/>
  <c r="AR17" s="1"/>
  <c r="AS17"/>
  <c r="AT17" s="1"/>
  <c r="AW17"/>
  <c r="AX17"/>
  <c r="AY17"/>
  <c r="AZ17"/>
  <c r="BA17"/>
  <c r="BB17"/>
  <c r="BC17"/>
  <c r="BD17"/>
  <c r="BE17"/>
  <c r="BF17"/>
  <c r="BG17"/>
  <c r="BH17"/>
  <c r="BI17"/>
  <c r="BJ17"/>
  <c r="BK17"/>
  <c r="BL17"/>
  <c r="BM17"/>
  <c r="BN17"/>
  <c r="BO17"/>
  <c r="BP17"/>
  <c r="BQ17"/>
  <c r="BR17"/>
  <c r="BS17"/>
  <c r="BT17"/>
  <c r="BU17"/>
  <c r="BV17"/>
  <c r="BW17"/>
  <c r="BX17"/>
  <c r="BY17"/>
  <c r="BZ17"/>
  <c r="CB17"/>
  <c r="CC17"/>
  <c r="CD17"/>
  <c r="AQ74"/>
  <c r="AR74" s="1"/>
  <c r="AS74"/>
  <c r="AT74" s="1"/>
  <c r="AW74"/>
  <c r="AX74"/>
  <c r="AY74"/>
  <c r="AZ74"/>
  <c r="BA74"/>
  <c r="BB74"/>
  <c r="BC74"/>
  <c r="BD74"/>
  <c r="BE74"/>
  <c r="BF74"/>
  <c r="BG74"/>
  <c r="BH74"/>
  <c r="BI74"/>
  <c r="BJ74"/>
  <c r="BK74"/>
  <c r="BL74"/>
  <c r="BM74"/>
  <c r="BN74"/>
  <c r="BO74"/>
  <c r="BP74"/>
  <c r="BQ74"/>
  <c r="BS74"/>
  <c r="BT74"/>
  <c r="BU74"/>
  <c r="BV74"/>
  <c r="BW74"/>
  <c r="BX74"/>
  <c r="BY74"/>
  <c r="BZ74"/>
  <c r="CB74"/>
  <c r="CC74"/>
  <c r="CD74"/>
  <c r="AQ57"/>
  <c r="AR57" s="1"/>
  <c r="AS57"/>
  <c r="AT57" s="1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S57"/>
  <c r="BT57"/>
  <c r="BU57"/>
  <c r="BV57"/>
  <c r="BW57"/>
  <c r="BX57"/>
  <c r="BY57"/>
  <c r="BZ57"/>
  <c r="CB57"/>
  <c r="CC57"/>
  <c r="CD57"/>
  <c r="AQ35"/>
  <c r="AR35" s="1"/>
  <c r="AS35"/>
  <c r="AT35" s="1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S35"/>
  <c r="BT35"/>
  <c r="BU35"/>
  <c r="BV35"/>
  <c r="BW35"/>
  <c r="BX35"/>
  <c r="BY35"/>
  <c r="BZ35"/>
  <c r="CB35"/>
  <c r="CC35"/>
  <c r="CD35"/>
  <c r="AQ62"/>
  <c r="AR62" s="1"/>
  <c r="AS62"/>
  <c r="AT62" s="1"/>
  <c r="AW62"/>
  <c r="AX62"/>
  <c r="AY62"/>
  <c r="AZ62"/>
  <c r="BA62"/>
  <c r="BB62"/>
  <c r="BC62"/>
  <c r="BD62"/>
  <c r="BE62"/>
  <c r="BF62"/>
  <c r="BG62"/>
  <c r="BH62"/>
  <c r="BI62"/>
  <c r="BJ62"/>
  <c r="BK62"/>
  <c r="BL62"/>
  <c r="BM62"/>
  <c r="BN62"/>
  <c r="BO62"/>
  <c r="BP62"/>
  <c r="BQ62"/>
  <c r="BS62"/>
  <c r="BT62"/>
  <c r="BU62"/>
  <c r="BV62"/>
  <c r="BW62"/>
  <c r="BX62"/>
  <c r="BY62"/>
  <c r="BZ62"/>
  <c r="CB62"/>
  <c r="CC62"/>
  <c r="CD62"/>
  <c r="AQ53"/>
  <c r="AR53" s="1"/>
  <c r="AS53"/>
  <c r="AT53" s="1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S53"/>
  <c r="BT53"/>
  <c r="BU53"/>
  <c r="BV53"/>
  <c r="BW53"/>
  <c r="BX53"/>
  <c r="BY53"/>
  <c r="BZ53"/>
  <c r="CB53"/>
  <c r="CC53"/>
  <c r="CD53"/>
  <c r="AQ46"/>
  <c r="AR46" s="1"/>
  <c r="AS46"/>
  <c r="AT46" s="1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S46"/>
  <c r="BT46"/>
  <c r="BU46"/>
  <c r="BV46"/>
  <c r="BW46"/>
  <c r="BX46"/>
  <c r="BY46"/>
  <c r="BZ46"/>
  <c r="CB46"/>
  <c r="CC46"/>
  <c r="CD46"/>
  <c r="AQ63"/>
  <c r="AR63" s="1"/>
  <c r="AS63"/>
  <c r="AT63" s="1"/>
  <c r="AW63"/>
  <c r="AX63"/>
  <c r="AY63"/>
  <c r="AZ63"/>
  <c r="BA63"/>
  <c r="BB63"/>
  <c r="BC63"/>
  <c r="BD63"/>
  <c r="BE63"/>
  <c r="BF63"/>
  <c r="BG63"/>
  <c r="BH63"/>
  <c r="BI63"/>
  <c r="BJ63"/>
  <c r="BK63"/>
  <c r="BL63"/>
  <c r="BM63"/>
  <c r="BN63"/>
  <c r="BO63"/>
  <c r="BP63"/>
  <c r="BQ63"/>
  <c r="BS63"/>
  <c r="BT63"/>
  <c r="BU63"/>
  <c r="BV63"/>
  <c r="BW63"/>
  <c r="BX63"/>
  <c r="BY63"/>
  <c r="BZ63"/>
  <c r="CB63"/>
  <c r="CC63"/>
  <c r="CD63"/>
  <c r="AQ25"/>
  <c r="AR25" s="1"/>
  <c r="AS25"/>
  <c r="AT25" s="1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S25"/>
  <c r="BT25"/>
  <c r="BU25"/>
  <c r="BV25"/>
  <c r="BW25"/>
  <c r="BX25"/>
  <c r="BY25"/>
  <c r="BZ25"/>
  <c r="CB25"/>
  <c r="CC25"/>
  <c r="CD25"/>
  <c r="AQ66"/>
  <c r="AR66" s="1"/>
  <c r="AS66"/>
  <c r="AT66" s="1"/>
  <c r="AW66"/>
  <c r="AX66"/>
  <c r="AY66"/>
  <c r="AZ66"/>
  <c r="BA66"/>
  <c r="BB66"/>
  <c r="BC66"/>
  <c r="BD66"/>
  <c r="BE66"/>
  <c r="BF66"/>
  <c r="BG66"/>
  <c r="BH66"/>
  <c r="BI66"/>
  <c r="BJ66"/>
  <c r="BK66"/>
  <c r="BL66"/>
  <c r="BM66"/>
  <c r="BN66"/>
  <c r="BO66"/>
  <c r="BP66"/>
  <c r="BQ66"/>
  <c r="BS66"/>
  <c r="BT66"/>
  <c r="BU66"/>
  <c r="BV66"/>
  <c r="BW66"/>
  <c r="BX66"/>
  <c r="BY66"/>
  <c r="BZ66"/>
  <c r="CB66"/>
  <c r="CC66"/>
  <c r="CD66"/>
  <c r="AQ61"/>
  <c r="AR61" s="1"/>
  <c r="AS61"/>
  <c r="AT61" s="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S61"/>
  <c r="BT61"/>
  <c r="BU61"/>
  <c r="BV61"/>
  <c r="BW61"/>
  <c r="BX61"/>
  <c r="BY61"/>
  <c r="BZ61"/>
  <c r="CB61"/>
  <c r="CC61"/>
  <c r="CD61"/>
  <c r="AQ45"/>
  <c r="AR45" s="1"/>
  <c r="AS45"/>
  <c r="AT45" s="1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S45"/>
  <c r="BT45"/>
  <c r="BU45"/>
  <c r="BV45"/>
  <c r="BW45"/>
  <c r="BX45"/>
  <c r="BY45"/>
  <c r="BZ45"/>
  <c r="CB45"/>
  <c r="CC45"/>
  <c r="CD45"/>
  <c r="AQ19"/>
  <c r="AR19" s="1"/>
  <c r="AS19"/>
  <c r="AT19" s="1"/>
  <c r="AW19"/>
  <c r="AX19"/>
  <c r="AY19"/>
  <c r="AZ19"/>
  <c r="BA19"/>
  <c r="BB19"/>
  <c r="BC19"/>
  <c r="BD19"/>
  <c r="BE19"/>
  <c r="BF19"/>
  <c r="BG19"/>
  <c r="BH19"/>
  <c r="BI19"/>
  <c r="BJ19"/>
  <c r="BK19"/>
  <c r="BL19"/>
  <c r="BM19"/>
  <c r="BN19"/>
  <c r="BO19"/>
  <c r="BP19"/>
  <c r="BQ19"/>
  <c r="BS19"/>
  <c r="BT19"/>
  <c r="BU19"/>
  <c r="BV19"/>
  <c r="BW19"/>
  <c r="BX19"/>
  <c r="BY19"/>
  <c r="BZ19"/>
  <c r="CB19"/>
  <c r="CC19"/>
  <c r="CD19"/>
  <c r="AQ60"/>
  <c r="AR60" s="1"/>
  <c r="AS60"/>
  <c r="AT60" s="1"/>
  <c r="AW60"/>
  <c r="AX60"/>
  <c r="AY60"/>
  <c r="AZ60"/>
  <c r="BA60"/>
  <c r="BB60"/>
  <c r="BC60"/>
  <c r="BD60"/>
  <c r="BE60"/>
  <c r="BF60"/>
  <c r="BG60"/>
  <c r="BH60"/>
  <c r="BI60"/>
  <c r="BJ60"/>
  <c r="BK60"/>
  <c r="BL60"/>
  <c r="BM60"/>
  <c r="BN60"/>
  <c r="BO60"/>
  <c r="BP60"/>
  <c r="BQ60"/>
  <c r="BS60"/>
  <c r="BT60"/>
  <c r="BU60"/>
  <c r="BV60"/>
  <c r="BW60"/>
  <c r="BX60"/>
  <c r="BY60"/>
  <c r="BZ60"/>
  <c r="CB60"/>
  <c r="CC60"/>
  <c r="CD60"/>
  <c r="AQ42"/>
  <c r="AR42" s="1"/>
  <c r="AS42"/>
  <c r="AT42" s="1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S42"/>
  <c r="BT42"/>
  <c r="BU42"/>
  <c r="BV42"/>
  <c r="BW42"/>
  <c r="BX42"/>
  <c r="BY42"/>
  <c r="BZ42"/>
  <c r="CB42"/>
  <c r="CC42"/>
  <c r="CD42"/>
  <c r="AQ70"/>
  <c r="AR70" s="1"/>
  <c r="AS70"/>
  <c r="AT70" s="1"/>
  <c r="AW70"/>
  <c r="AX70"/>
  <c r="AY70"/>
  <c r="AZ70"/>
  <c r="BA70"/>
  <c r="BB70"/>
  <c r="BC70"/>
  <c r="BD70"/>
  <c r="BE70"/>
  <c r="BF70"/>
  <c r="BG70"/>
  <c r="BH70"/>
  <c r="BI70"/>
  <c r="BJ70"/>
  <c r="BK70"/>
  <c r="BL70"/>
  <c r="BM70"/>
  <c r="BN70"/>
  <c r="BO70"/>
  <c r="BP70"/>
  <c r="BQ70"/>
  <c r="BS70"/>
  <c r="BT70"/>
  <c r="BU70"/>
  <c r="BV70"/>
  <c r="BW70"/>
  <c r="BX70"/>
  <c r="BY70"/>
  <c r="BZ70"/>
  <c r="CB70"/>
  <c r="CC70"/>
  <c r="CD70"/>
  <c r="AQ32"/>
  <c r="AR32" s="1"/>
  <c r="AS32"/>
  <c r="AT32" s="1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S32"/>
  <c r="BT32"/>
  <c r="BU32"/>
  <c r="BV32"/>
  <c r="BW32"/>
  <c r="BX32"/>
  <c r="BY32"/>
  <c r="BZ32"/>
  <c r="CB32"/>
  <c r="CC32"/>
  <c r="CD32"/>
  <c r="AQ50"/>
  <c r="AR50" s="1"/>
  <c r="AS50"/>
  <c r="AT50" s="1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S50"/>
  <c r="BT50"/>
  <c r="BU50"/>
  <c r="BV50"/>
  <c r="BW50"/>
  <c r="BX50"/>
  <c r="BY50"/>
  <c r="BZ50"/>
  <c r="CB50"/>
  <c r="CC50"/>
  <c r="CD50"/>
  <c r="AQ73"/>
  <c r="AR73" s="1"/>
  <c r="AS73"/>
  <c r="AT73" s="1"/>
  <c r="AW73"/>
  <c r="AX73"/>
  <c r="AY73"/>
  <c r="AZ73"/>
  <c r="BA73"/>
  <c r="BB73"/>
  <c r="BC73"/>
  <c r="BD73"/>
  <c r="BE73"/>
  <c r="BF73"/>
  <c r="BG73"/>
  <c r="BH73"/>
  <c r="BI73"/>
  <c r="BJ73"/>
  <c r="BK73"/>
  <c r="BL73"/>
  <c r="BM73"/>
  <c r="BN73"/>
  <c r="BO73"/>
  <c r="BP73"/>
  <c r="BQ73"/>
  <c r="BS73"/>
  <c r="BT73"/>
  <c r="BU73"/>
  <c r="BV73"/>
  <c r="BW73"/>
  <c r="BX73"/>
  <c r="BY73"/>
  <c r="BZ73"/>
  <c r="CB73"/>
  <c r="CC73"/>
  <c r="CD73"/>
  <c r="AQ41"/>
  <c r="AR41" s="1"/>
  <c r="AS41"/>
  <c r="AT41" s="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S41"/>
  <c r="BT41"/>
  <c r="BU41"/>
  <c r="BV41"/>
  <c r="BW41"/>
  <c r="BX41"/>
  <c r="BY41"/>
  <c r="BZ41"/>
  <c r="CB41"/>
  <c r="CC41"/>
  <c r="CD41"/>
  <c r="G93" i="7"/>
  <c r="H93" s="1"/>
  <c r="AG53" i="35" l="1"/>
  <c r="AG52" i="32"/>
  <c r="G52" s="1"/>
  <c r="AG65" i="9"/>
  <c r="AG65" i="35"/>
  <c r="AG57"/>
  <c r="AG55"/>
  <c r="AG55" i="9"/>
  <c r="BA17" i="6"/>
  <c r="AG58" i="9"/>
  <c r="AG51" i="30"/>
  <c r="H51" s="1"/>
  <c r="AG56" i="35"/>
  <c r="AG66"/>
  <c r="AG54"/>
  <c r="AC52" i="32"/>
  <c r="AC65" i="35"/>
  <c r="AC65" i="9"/>
  <c r="AC57" i="35"/>
  <c r="AC55" i="9"/>
  <c r="AC55" i="35"/>
  <c r="AY17" i="6"/>
  <c r="AC58" i="9"/>
  <c r="AC51" i="30"/>
  <c r="AC56" i="35"/>
  <c r="AC66"/>
  <c r="AC54"/>
  <c r="BA11" i="6"/>
  <c r="AG59" i="34"/>
  <c r="AY11" i="6"/>
  <c r="AC59" i="34"/>
  <c r="AG65" i="32"/>
  <c r="AG55" i="30"/>
  <c r="H68" i="33"/>
  <c r="F68"/>
  <c r="G68"/>
  <c r="AG68" i="32"/>
  <c r="AG66" i="30"/>
  <c r="AC65" i="32"/>
  <c r="AC55" i="30"/>
  <c r="AC68" i="32"/>
  <c r="AC66" i="30"/>
  <c r="BA77" i="6"/>
  <c r="AG65" i="33"/>
  <c r="AY77" i="6"/>
  <c r="AC65" i="33"/>
  <c r="BA57" i="6"/>
  <c r="AG67" i="34"/>
  <c r="BA33" i="6"/>
  <c r="AG63" i="34"/>
  <c r="BA63" i="6"/>
  <c r="AG65" i="34"/>
  <c r="BA32" i="6"/>
  <c r="AG54" i="34"/>
  <c r="BA87" i="6"/>
  <c r="AG64" i="34"/>
  <c r="BA67" i="6"/>
  <c r="AG51" i="34"/>
  <c r="BA68" i="6"/>
  <c r="AG52" i="34"/>
  <c r="BA16" i="6"/>
  <c r="AG55" i="34"/>
  <c r="BA83" i="6"/>
  <c r="AG53" i="34"/>
  <c r="BA26" i="6"/>
  <c r="AG66" i="34"/>
  <c r="AY57" i="6"/>
  <c r="AC67" i="34"/>
  <c r="AY33" i="6"/>
  <c r="AC63" i="34"/>
  <c r="AY63" i="6"/>
  <c r="AC65" i="34"/>
  <c r="AY32" i="6"/>
  <c r="AC54" i="34"/>
  <c r="AY87" i="6"/>
  <c r="AC64" i="34"/>
  <c r="AY67" i="6"/>
  <c r="AC51" i="34"/>
  <c r="AY68" i="6"/>
  <c r="AC52" i="34"/>
  <c r="AY16" i="6"/>
  <c r="AC55" i="34"/>
  <c r="AY83" i="6"/>
  <c r="AC53" i="34"/>
  <c r="AY26" i="6"/>
  <c r="AC66" i="34"/>
  <c r="AY24" i="6"/>
  <c r="AC64" i="33"/>
  <c r="AC64" i="32"/>
  <c r="AY61" i="6"/>
  <c r="AC55" i="33"/>
  <c r="AC55" i="32"/>
  <c r="AY35" i="6"/>
  <c r="AC66" i="33"/>
  <c r="AC66" i="32"/>
  <c r="AY37" i="6"/>
  <c r="AC67" i="33"/>
  <c r="AY21" i="6"/>
  <c r="AC59" i="33"/>
  <c r="AC59" i="32"/>
  <c r="AY64" i="6"/>
  <c r="AC51" i="33"/>
  <c r="AC51" i="32"/>
  <c r="AY71" i="6"/>
  <c r="AC63" i="33"/>
  <c r="AY19" i="6"/>
  <c r="AC54" i="33"/>
  <c r="AY79" i="6"/>
  <c r="AC52" i="33"/>
  <c r="AC67" i="32"/>
  <c r="AC63"/>
  <c r="BA24" i="6"/>
  <c r="AG64" i="33"/>
  <c r="AG64" i="32"/>
  <c r="BA61" i="6"/>
  <c r="AG55" i="33"/>
  <c r="AG55" i="32"/>
  <c r="BA35" i="6"/>
  <c r="AG66" i="33"/>
  <c r="AG66" i="32"/>
  <c r="BA37" i="6"/>
  <c r="AG67" i="33"/>
  <c r="BA21" i="6"/>
  <c r="AG59" i="33"/>
  <c r="AG59" i="32"/>
  <c r="BA64" i="6"/>
  <c r="AG51" i="33"/>
  <c r="AG51" i="32"/>
  <c r="BA71" i="6"/>
  <c r="AG63" i="33"/>
  <c r="BA19" i="6"/>
  <c r="AG54" i="33"/>
  <c r="BA79" i="6"/>
  <c r="AG52" i="33"/>
  <c r="AG67" i="32"/>
  <c r="F67" s="1"/>
  <c r="AG63"/>
  <c r="G63" s="1"/>
  <c r="F52"/>
  <c r="H65"/>
  <c r="F65"/>
  <c r="G65"/>
  <c r="H69"/>
  <c r="F69"/>
  <c r="G69"/>
  <c r="H68"/>
  <c r="F68"/>
  <c r="G68"/>
  <c r="G67"/>
  <c r="AY27" i="6"/>
  <c r="AC53" i="9"/>
  <c r="AY14" i="6"/>
  <c r="AC52" i="30"/>
  <c r="AY90" i="6"/>
  <c r="AC65" i="30"/>
  <c r="AY88" i="6"/>
  <c r="AC54" i="30"/>
  <c r="AY50" i="6"/>
  <c r="AC69" i="30"/>
  <c r="AY13" i="6"/>
  <c r="AC62" i="9"/>
  <c r="AY49" i="6"/>
  <c r="AC68" i="30"/>
  <c r="AC67" i="9"/>
  <c r="AY85" i="6"/>
  <c r="AC53" i="30"/>
  <c r="AY18" i="6"/>
  <c r="AC57" i="9"/>
  <c r="AY58" i="6"/>
  <c r="AC56" i="9"/>
  <c r="AY20" i="6"/>
  <c r="AC61" i="9"/>
  <c r="AY12" i="6"/>
  <c r="AC66" i="9"/>
  <c r="AY46" i="6"/>
  <c r="AC67" i="30"/>
  <c r="AY60" i="6"/>
  <c r="AC63" i="30"/>
  <c r="AY28" i="6"/>
  <c r="AC54" i="9"/>
  <c r="AY29" i="6"/>
  <c r="AC69" i="9"/>
  <c r="BA27" i="6"/>
  <c r="AG53" i="9"/>
  <c r="BA14" i="6"/>
  <c r="AG52" i="30"/>
  <c r="BA90" i="6"/>
  <c r="AG65" i="30"/>
  <c r="BA88" i="6"/>
  <c r="AG54" i="30"/>
  <c r="BA50" i="6"/>
  <c r="AG69" i="30"/>
  <c r="BA13" i="6"/>
  <c r="AG62" i="9"/>
  <c r="BA49" i="6"/>
  <c r="AG68" i="30"/>
  <c r="AG67" i="9"/>
  <c r="BA85" i="6"/>
  <c r="AG53" i="30"/>
  <c r="BA18" i="6"/>
  <c r="AG57" i="9"/>
  <c r="BA58" i="6"/>
  <c r="AG56" i="9"/>
  <c r="BA20" i="6"/>
  <c r="AG61" i="9"/>
  <c r="BA12" i="6"/>
  <c r="AG66" i="9"/>
  <c r="BA46" i="6"/>
  <c r="AG67" i="30"/>
  <c r="BA60" i="6"/>
  <c r="AG63" i="30"/>
  <c r="BA28" i="6"/>
  <c r="AG54" i="9"/>
  <c r="BA29" i="6"/>
  <c r="AG69" i="9"/>
  <c r="C73" i="5"/>
  <c r="D74"/>
  <c r="D72"/>
  <c r="D23"/>
  <c r="C12"/>
  <c r="D73"/>
  <c r="C74"/>
  <c r="C72"/>
  <c r="C23"/>
  <c r="D12"/>
  <c r="BB71" i="23"/>
  <c r="BC71" s="1"/>
  <c r="BB24"/>
  <c r="BC24" s="1"/>
  <c r="BB50"/>
  <c r="BC50" s="1"/>
  <c r="BB34"/>
  <c r="BC34" s="1"/>
  <c r="BB22"/>
  <c r="BC22" s="1"/>
  <c r="D19" i="5"/>
  <c r="C19"/>
  <c r="C21"/>
  <c r="D39"/>
  <c r="D29"/>
  <c r="D17"/>
  <c r="D27"/>
  <c r="D41"/>
  <c r="C50"/>
  <c r="D32"/>
  <c r="C70"/>
  <c r="D42"/>
  <c r="D60"/>
  <c r="D45"/>
  <c r="C61"/>
  <c r="C66"/>
  <c r="D25"/>
  <c r="C63"/>
  <c r="D46"/>
  <c r="D53"/>
  <c r="C62"/>
  <c r="C35"/>
  <c r="D57"/>
  <c r="D18"/>
  <c r="D21"/>
  <c r="C33"/>
  <c r="D69"/>
  <c r="C39"/>
  <c r="C65"/>
  <c r="D64"/>
  <c r="C36"/>
  <c r="C54"/>
  <c r="D56"/>
  <c r="C59"/>
  <c r="D71"/>
  <c r="C28"/>
  <c r="D11"/>
  <c r="C67"/>
  <c r="D30"/>
  <c r="C24"/>
  <c r="D68"/>
  <c r="C41"/>
  <c r="D50"/>
  <c r="C32"/>
  <c r="D70"/>
  <c r="C42"/>
  <c r="C60"/>
  <c r="C45"/>
  <c r="D61"/>
  <c r="D66"/>
  <c r="C25"/>
  <c r="D63"/>
  <c r="C46"/>
  <c r="C53"/>
  <c r="D62"/>
  <c r="D35"/>
  <c r="C57"/>
  <c r="C17"/>
  <c r="C27"/>
  <c r="C18"/>
  <c r="D33"/>
  <c r="C69"/>
  <c r="D65"/>
  <c r="C64"/>
  <c r="D36"/>
  <c r="D54"/>
  <c r="C29"/>
  <c r="C56"/>
  <c r="D59"/>
  <c r="C71"/>
  <c r="D28"/>
  <c r="C11"/>
  <c r="D67"/>
  <c r="C30"/>
  <c r="D24"/>
  <c r="C68"/>
  <c r="AU68"/>
  <c r="AV68" s="1"/>
  <c r="CA18"/>
  <c r="AU72"/>
  <c r="AV72" s="1"/>
  <c r="J46" i="7"/>
  <c r="CK50" i="23"/>
  <c r="BB37" i="6"/>
  <c r="BC37" s="1"/>
  <c r="BB79"/>
  <c r="BC79" s="1"/>
  <c r="BB73"/>
  <c r="BC73" s="1"/>
  <c r="CA62" i="5"/>
  <c r="CA35"/>
  <c r="AU53"/>
  <c r="AV53" s="1"/>
  <c r="CA57"/>
  <c r="CA17"/>
  <c r="CA27"/>
  <c r="CA36"/>
  <c r="CA54"/>
  <c r="CA21"/>
  <c r="CA69"/>
  <c r="CA65"/>
  <c r="G46" i="7"/>
  <c r="I46"/>
  <c r="L46"/>
  <c r="AU74" i="5"/>
  <c r="AV74" s="1"/>
  <c r="AU33"/>
  <c r="AV33" s="1"/>
  <c r="AU39"/>
  <c r="AV39" s="1"/>
  <c r="AU64"/>
  <c r="AV64" s="1"/>
  <c r="CA63"/>
  <c r="BB77" i="6"/>
  <c r="BC77" s="1"/>
  <c r="BB74"/>
  <c r="BC74" s="1"/>
  <c r="BB12"/>
  <c r="BC12" s="1"/>
  <c r="BB39"/>
  <c r="BC39" s="1"/>
  <c r="BB33"/>
  <c r="BC33" s="1"/>
  <c r="BB90"/>
  <c r="BC90" s="1"/>
  <c r="BB32"/>
  <c r="BC32" s="1"/>
  <c r="BB44"/>
  <c r="BC44" s="1"/>
  <c r="BB40"/>
  <c r="BC40" s="1"/>
  <c r="BB58"/>
  <c r="BC58" s="1"/>
  <c r="BB26"/>
  <c r="BC26" s="1"/>
  <c r="CK34" i="23"/>
  <c r="CK22"/>
  <c r="CK71"/>
  <c r="CK24"/>
  <c r="AU46" i="5"/>
  <c r="AV46" s="1"/>
  <c r="CA41"/>
  <c r="CA50"/>
  <c r="CA42"/>
  <c r="CA60"/>
  <c r="CA19"/>
  <c r="CA61"/>
  <c r="CA66"/>
  <c r="AU23"/>
  <c r="AV23" s="1"/>
  <c r="AU12"/>
  <c r="AV12" s="1"/>
  <c r="AU67"/>
  <c r="AV67" s="1"/>
  <c r="AU73"/>
  <c r="AV73" s="1"/>
  <c r="AU32"/>
  <c r="AV32" s="1"/>
  <c r="AU70"/>
  <c r="AV70" s="1"/>
  <c r="AU45"/>
  <c r="AV45" s="1"/>
  <c r="CA68"/>
  <c r="BB57" i="6"/>
  <c r="BC57" s="1"/>
  <c r="BB91"/>
  <c r="BC91" s="1"/>
  <c r="BB21"/>
  <c r="BC21" s="1"/>
  <c r="BB38"/>
  <c r="BC38" s="1"/>
  <c r="BB87"/>
  <c r="BC87" s="1"/>
  <c r="BB92"/>
  <c r="BC92" s="1"/>
  <c r="BB71"/>
  <c r="BC71" s="1"/>
  <c r="BB19"/>
  <c r="BC19" s="1"/>
  <c r="BB83"/>
  <c r="BC83" s="1"/>
  <c r="BB86"/>
  <c r="BC86" s="1"/>
  <c r="BB60"/>
  <c r="BC60" s="1"/>
  <c r="BB28"/>
  <c r="BC28" s="1"/>
  <c r="BN24"/>
  <c r="BN35"/>
  <c r="BN89"/>
  <c r="BN69"/>
  <c r="BN27"/>
  <c r="BB14"/>
  <c r="BC14" s="1"/>
  <c r="BN11"/>
  <c r="BB11"/>
  <c r="BC11" s="1"/>
  <c r="BN63"/>
  <c r="BB63"/>
  <c r="BC63" s="1"/>
  <c r="BN43"/>
  <c r="BB43"/>
  <c r="BC43" s="1"/>
  <c r="BN62"/>
  <c r="BB62"/>
  <c r="BC62" s="1"/>
  <c r="BN88"/>
  <c r="BB88"/>
  <c r="BC88" s="1"/>
  <c r="BN64"/>
  <c r="BB64"/>
  <c r="BC64" s="1"/>
  <c r="BN36"/>
  <c r="BB36"/>
  <c r="BC36" s="1"/>
  <c r="BN48"/>
  <c r="BB48"/>
  <c r="BC48" s="1"/>
  <c r="BN50"/>
  <c r="BB50"/>
  <c r="BC50" s="1"/>
  <c r="BN67"/>
  <c r="BB67"/>
  <c r="BC67" s="1"/>
  <c r="BN13"/>
  <c r="BB13"/>
  <c r="BC13" s="1"/>
  <c r="BN68"/>
  <c r="BB68"/>
  <c r="BC68" s="1"/>
  <c r="BN49"/>
  <c r="BB49"/>
  <c r="BC49" s="1"/>
  <c r="BN16"/>
  <c r="BB16"/>
  <c r="BC16" s="1"/>
  <c r="BN66"/>
  <c r="BB66"/>
  <c r="BC66" s="1"/>
  <c r="BN78"/>
  <c r="BB78"/>
  <c r="BC78" s="1"/>
  <c r="BN85"/>
  <c r="BB85"/>
  <c r="BC85" s="1"/>
  <c r="BN18"/>
  <c r="BB18"/>
  <c r="BC18" s="1"/>
  <c r="BN20"/>
  <c r="BB20"/>
  <c r="BC20" s="1"/>
  <c r="BN46"/>
  <c r="BB46"/>
  <c r="BC46" s="1"/>
  <c r="BN75"/>
  <c r="BB75"/>
  <c r="BC75" s="1"/>
  <c r="BN29"/>
  <c r="BB29"/>
  <c r="BC29" s="1"/>
  <c r="AU24" i="5"/>
  <c r="AV24" s="1"/>
  <c r="AU25"/>
  <c r="AV25" s="1"/>
  <c r="CA71"/>
  <c r="CA11"/>
  <c r="AU29"/>
  <c r="AV29" s="1"/>
  <c r="AU56"/>
  <c r="AV56" s="1"/>
  <c r="AU59"/>
  <c r="AV59" s="1"/>
  <c r="AU28"/>
  <c r="AV28" s="1"/>
  <c r="CA67"/>
  <c r="CA73"/>
  <c r="CA32"/>
  <c r="CA70"/>
  <c r="CA45"/>
  <c r="CA25"/>
  <c r="CA46"/>
  <c r="CA53"/>
  <c r="CA74"/>
  <c r="CA72"/>
  <c r="CA33"/>
  <c r="CA39"/>
  <c r="CA64"/>
  <c r="CA29"/>
  <c r="CA56"/>
  <c r="CA59"/>
  <c r="CA28"/>
  <c r="CA23"/>
  <c r="CA12"/>
  <c r="CA24"/>
  <c r="CA30"/>
  <c r="AU41"/>
  <c r="AV41" s="1"/>
  <c r="AU50"/>
  <c r="AV50" s="1"/>
  <c r="AU42"/>
  <c r="AV42" s="1"/>
  <c r="AU60"/>
  <c r="AV60" s="1"/>
  <c r="AU19"/>
  <c r="AV19" s="1"/>
  <c r="AU61"/>
  <c r="AV61" s="1"/>
  <c r="AU66"/>
  <c r="AV66" s="1"/>
  <c r="AU63"/>
  <c r="AV63" s="1"/>
  <c r="AU62"/>
  <c r="AV62" s="1"/>
  <c r="AU35"/>
  <c r="AV35" s="1"/>
  <c r="AU57"/>
  <c r="AV57" s="1"/>
  <c r="AU17"/>
  <c r="AV17" s="1"/>
  <c r="AU27"/>
  <c r="AV27" s="1"/>
  <c r="AU18"/>
  <c r="AV18" s="1"/>
  <c r="AU21"/>
  <c r="AV21" s="1"/>
  <c r="AU69"/>
  <c r="AV69" s="1"/>
  <c r="AU65"/>
  <c r="AV65" s="1"/>
  <c r="AU36"/>
  <c r="AV36" s="1"/>
  <c r="AU54"/>
  <c r="AV54" s="1"/>
  <c r="AU71"/>
  <c r="AV71" s="1"/>
  <c r="AU11"/>
  <c r="AV11" s="1"/>
  <c r="AU30"/>
  <c r="AV30" s="1"/>
  <c r="BB24" i="6"/>
  <c r="BC24" s="1"/>
  <c r="BB61"/>
  <c r="BC61" s="1"/>
  <c r="BB89"/>
  <c r="BC89" s="1"/>
  <c r="BB69"/>
  <c r="BC69" s="1"/>
  <c r="BN61"/>
  <c r="BN57"/>
  <c r="BN14"/>
  <c r="BN39"/>
  <c r="BA39"/>
  <c r="BN33"/>
  <c r="BN37"/>
  <c r="BN91"/>
  <c r="BN90"/>
  <c r="BN21"/>
  <c r="BN77"/>
  <c r="BN38"/>
  <c r="BN32"/>
  <c r="BN87"/>
  <c r="BN73"/>
  <c r="BN92"/>
  <c r="BN44"/>
  <c r="BN74"/>
  <c r="BN71"/>
  <c r="BN40"/>
  <c r="BN19"/>
  <c r="BN79"/>
  <c r="BN83"/>
  <c r="BN58"/>
  <c r="BN86"/>
  <c r="BN12"/>
  <c r="BN60"/>
  <c r="BN26"/>
  <c r="BN28"/>
  <c r="BN17"/>
  <c r="BB17"/>
  <c r="BC17" s="1"/>
  <c r="BB35"/>
  <c r="BC35" s="1"/>
  <c r="BB27"/>
  <c r="BC27" s="1"/>
  <c r="O46" i="7"/>
  <c r="C85" i="6"/>
  <c r="H52" i="32" l="1"/>
  <c r="G51" i="30"/>
  <c r="F51"/>
  <c r="F59" i="34"/>
  <c r="H59"/>
  <c r="G59"/>
  <c r="G66" i="30"/>
  <c r="H66"/>
  <c r="F66"/>
  <c r="F55"/>
  <c r="H55"/>
  <c r="G55"/>
  <c r="H63" i="32"/>
  <c r="H67"/>
  <c r="F65" i="33"/>
  <c r="H65"/>
  <c r="G65"/>
  <c r="F63" i="32"/>
  <c r="H66" i="34"/>
  <c r="F66"/>
  <c r="G66"/>
  <c r="H53"/>
  <c r="F53"/>
  <c r="G53"/>
  <c r="H55"/>
  <c r="F55"/>
  <c r="G55"/>
  <c r="H52"/>
  <c r="F52"/>
  <c r="G52"/>
  <c r="H51"/>
  <c r="G51"/>
  <c r="F51"/>
  <c r="H64"/>
  <c r="F64"/>
  <c r="G64"/>
  <c r="H54"/>
  <c r="F54"/>
  <c r="G54"/>
  <c r="H65"/>
  <c r="F65"/>
  <c r="G65"/>
  <c r="H63"/>
  <c r="F63"/>
  <c r="G63"/>
  <c r="H67"/>
  <c r="F67"/>
  <c r="G67"/>
  <c r="H52" i="33"/>
  <c r="G52"/>
  <c r="F52"/>
  <c r="H54"/>
  <c r="G54"/>
  <c r="F54"/>
  <c r="H63"/>
  <c r="F63"/>
  <c r="G63"/>
  <c r="F51" i="32"/>
  <c r="G51"/>
  <c r="H51"/>
  <c r="H59" i="33"/>
  <c r="F59"/>
  <c r="G59"/>
  <c r="H67"/>
  <c r="F67"/>
  <c r="G67"/>
  <c r="H66" i="32"/>
  <c r="G66"/>
  <c r="F66"/>
  <c r="H55" i="33"/>
  <c r="F55"/>
  <c r="G55"/>
  <c r="F64" i="32"/>
  <c r="H64"/>
  <c r="G64"/>
  <c r="H51" i="33"/>
  <c r="G51"/>
  <c r="F51"/>
  <c r="H59" i="32"/>
  <c r="F59"/>
  <c r="G59"/>
  <c r="H66" i="33"/>
  <c r="F66"/>
  <c r="G66"/>
  <c r="F55" i="32"/>
  <c r="G55"/>
  <c r="H55"/>
  <c r="H64" i="33"/>
  <c r="F64"/>
  <c r="G64"/>
  <c r="G63" i="30"/>
  <c r="H63"/>
  <c r="F63"/>
  <c r="H67"/>
  <c r="F67"/>
  <c r="G67"/>
  <c r="H53"/>
  <c r="F53"/>
  <c r="G53"/>
  <c r="G68"/>
  <c r="H68"/>
  <c r="F68"/>
  <c r="H69"/>
  <c r="F69"/>
  <c r="G69"/>
  <c r="G54"/>
  <c r="H54"/>
  <c r="F54"/>
  <c r="G65"/>
  <c r="H65"/>
  <c r="F65"/>
  <c r="G52"/>
  <c r="H52"/>
  <c r="F52"/>
  <c r="G63" i="7"/>
  <c r="N46" l="1"/>
  <c r="M46"/>
  <c r="AX72" i="23"/>
  <c r="AY72" s="1"/>
  <c r="AZ72"/>
  <c r="BA72" s="1"/>
  <c r="BD72"/>
  <c r="BE72"/>
  <c r="BF72"/>
  <c r="C72"/>
  <c r="C50"/>
  <c r="C24"/>
  <c r="C71"/>
  <c r="C22"/>
  <c r="I31" i="26"/>
  <c r="C51" i="7"/>
  <c r="D51" s="1"/>
  <c r="E51" s="1"/>
  <c r="F51" s="1"/>
  <c r="G51" s="1"/>
  <c r="H51" s="1"/>
  <c r="I51" s="1"/>
  <c r="J51" s="1"/>
  <c r="K51" s="1"/>
  <c r="L51" s="1"/>
  <c r="M51" s="1"/>
  <c r="N51" s="1"/>
  <c r="O51" s="1"/>
  <c r="AX81" i="6"/>
  <c r="AC54" i="32" s="1"/>
  <c r="AZ81" i="6"/>
  <c r="AG54" i="32" s="1"/>
  <c r="BD81" i="6"/>
  <c r="BE81"/>
  <c r="BF81"/>
  <c r="BG81"/>
  <c r="BH81"/>
  <c r="BI81"/>
  <c r="BJ81"/>
  <c r="BK81"/>
  <c r="BL81"/>
  <c r="BM81"/>
  <c r="C40"/>
  <c r="C81"/>
  <c r="C90"/>
  <c r="C79"/>
  <c r="C86"/>
  <c r="C35"/>
  <c r="C71"/>
  <c r="C38"/>
  <c r="C26"/>
  <c r="C49"/>
  <c r="C19"/>
  <c r="C91"/>
  <c r="C64"/>
  <c r="C83"/>
  <c r="E26" i="22"/>
  <c r="AQ26"/>
  <c r="AR26" s="1"/>
  <c r="AS26"/>
  <c r="AT26" s="1"/>
  <c r="AW26"/>
  <c r="AX26"/>
  <c r="AY26"/>
  <c r="AZ26"/>
  <c r="BA26"/>
  <c r="BB26"/>
  <c r="BC26"/>
  <c r="BD26"/>
  <c r="BE26"/>
  <c r="BF26"/>
  <c r="BG26"/>
  <c r="BH26"/>
  <c r="BI26"/>
  <c r="BJ26"/>
  <c r="BK26"/>
  <c r="BL26"/>
  <c r="BM26"/>
  <c r="BN26"/>
  <c r="BO26"/>
  <c r="BP26"/>
  <c r="BQ26"/>
  <c r="AX33" i="23"/>
  <c r="AY33" s="1"/>
  <c r="AZ33"/>
  <c r="BA33" s="1"/>
  <c r="BD33"/>
  <c r="BE33"/>
  <c r="BF33"/>
  <c r="AX36"/>
  <c r="AY36" s="1"/>
  <c r="AZ36"/>
  <c r="BA36" s="1"/>
  <c r="BD36"/>
  <c r="BE36"/>
  <c r="BF36"/>
  <c r="C33"/>
  <c r="C36"/>
  <c r="AQ60" i="22"/>
  <c r="AQ24"/>
  <c r="AQ64"/>
  <c r="AQ58"/>
  <c r="AQ20"/>
  <c r="AQ41"/>
  <c r="AQ52"/>
  <c r="AQ27"/>
  <c r="AQ53"/>
  <c r="AQ30"/>
  <c r="AQ28"/>
  <c r="AQ46"/>
  <c r="AQ35"/>
  <c r="AQ40"/>
  <c r="AQ61"/>
  <c r="AQ32"/>
  <c r="AQ22"/>
  <c r="AQ56"/>
  <c r="AQ31"/>
  <c r="AQ16"/>
  <c r="AQ44"/>
  <c r="AQ59"/>
  <c r="AQ11"/>
  <c r="AQ23"/>
  <c r="AQ45"/>
  <c r="AQ42"/>
  <c r="AQ37"/>
  <c r="AQ29"/>
  <c r="AQ65"/>
  <c r="AQ38"/>
  <c r="AQ48"/>
  <c r="AQ39"/>
  <c r="AQ17"/>
  <c r="AQ12"/>
  <c r="AQ57"/>
  <c r="AQ15"/>
  <c r="AQ63"/>
  <c r="AQ34"/>
  <c r="AQ47"/>
  <c r="AQ55"/>
  <c r="AQ18"/>
  <c r="AQ25"/>
  <c r="AQ21"/>
  <c r="AQ43"/>
  <c r="D18" i="26"/>
  <c r="D19" s="1"/>
  <c r="G54" i="32" l="1"/>
  <c r="H54"/>
  <c r="F54"/>
  <c r="AY81" i="6"/>
  <c r="AC53" i="33"/>
  <c r="AC53" i="32"/>
  <c r="BA81" i="6"/>
  <c r="AG53" i="33"/>
  <c r="AG53" i="32"/>
  <c r="AU26" i="22"/>
  <c r="AV26" s="1"/>
  <c r="BB72" i="23"/>
  <c r="BC72" s="1"/>
  <c r="BB36"/>
  <c r="BC36" s="1"/>
  <c r="CK72"/>
  <c r="BB33"/>
  <c r="BC33" s="1"/>
  <c r="CP26" i="22"/>
  <c r="CR26"/>
  <c r="CQ26"/>
  <c r="BN81" i="6"/>
  <c r="BB81"/>
  <c r="BC81" s="1"/>
  <c r="CS26" i="22"/>
  <c r="D26"/>
  <c r="C26"/>
  <c r="CK33" i="23"/>
  <c r="CK36"/>
  <c r="D20" i="26"/>
  <c r="CB37" i="5"/>
  <c r="CC37"/>
  <c r="CD37"/>
  <c r="C67" i="6"/>
  <c r="C13"/>
  <c r="AQ37" i="5"/>
  <c r="C39" i="6"/>
  <c r="C60"/>
  <c r="C66"/>
  <c r="C62"/>
  <c r="C14"/>
  <c r="BV37" i="5"/>
  <c r="BW37"/>
  <c r="BX37"/>
  <c r="BY37"/>
  <c r="BZ37"/>
  <c r="H53" i="33" l="1"/>
  <c r="G53"/>
  <c r="F53"/>
  <c r="H53" i="32"/>
  <c r="F53"/>
  <c r="G53"/>
  <c r="CT26" i="22"/>
  <c r="CA37" i="5"/>
  <c r="G59" i="7" l="1"/>
  <c r="B41" i="25"/>
  <c r="B40"/>
  <c r="Q54"/>
  <c r="Q53"/>
  <c r="Q52"/>
  <c r="Q48"/>
  <c r="Q47"/>
  <c r="Q46"/>
  <c r="Q38"/>
  <c r="Q37"/>
  <c r="Q36"/>
  <c r="Q32"/>
  <c r="Q31"/>
  <c r="Q30"/>
  <c r="L54"/>
  <c r="L53"/>
  <c r="L52"/>
  <c r="L48"/>
  <c r="L47"/>
  <c r="L46"/>
  <c r="S52"/>
  <c r="U52" s="1"/>
  <c r="S53" s="1"/>
  <c r="U53" s="1"/>
  <c r="S54" s="1"/>
  <c r="U54" s="1"/>
  <c r="N52"/>
  <c r="P52" s="1"/>
  <c r="S46"/>
  <c r="U46" s="1"/>
  <c r="S47" s="1"/>
  <c r="U47" s="1"/>
  <c r="S48" s="1"/>
  <c r="U48" s="1"/>
  <c r="N46"/>
  <c r="P46" s="1"/>
  <c r="N47" s="1"/>
  <c r="P47" s="1"/>
  <c r="B12"/>
  <c r="B10"/>
  <c r="B9"/>
  <c r="B8"/>
  <c r="B7"/>
  <c r="B6"/>
  <c r="B5"/>
  <c r="B4"/>
  <c r="P96" i="7"/>
  <c r="Q96" s="1"/>
  <c r="P95"/>
  <c r="Q95" s="1"/>
  <c r="P94"/>
  <c r="Q94" s="1"/>
  <c r="P93"/>
  <c r="Q93" s="1"/>
  <c r="D93"/>
  <c r="E93" s="1"/>
  <c r="C93"/>
  <c r="P71"/>
  <c r="Q71" s="1"/>
  <c r="P74"/>
  <c r="Q74" s="1"/>
  <c r="P75"/>
  <c r="Q75" s="1"/>
  <c r="P76"/>
  <c r="Q76" s="1"/>
  <c r="P88"/>
  <c r="Q88" s="1"/>
  <c r="P66"/>
  <c r="Q66" s="1"/>
  <c r="AF5" i="9"/>
  <c r="J4"/>
  <c r="E70"/>
  <c r="E69"/>
  <c r="E68"/>
  <c r="E67"/>
  <c r="E66"/>
  <c r="E65"/>
  <c r="E62"/>
  <c r="E61"/>
  <c r="E58"/>
  <c r="E57"/>
  <c r="E56"/>
  <c r="E55"/>
  <c r="E54"/>
  <c r="E53"/>
  <c r="E24"/>
  <c r="E23"/>
  <c r="E22"/>
  <c r="E19"/>
  <c r="E18"/>
  <c r="E17"/>
  <c r="E16"/>
  <c r="E15"/>
  <c r="E14"/>
  <c r="E11"/>
  <c r="E10"/>
  <c r="E9"/>
  <c r="E8"/>
  <c r="E7"/>
  <c r="E6"/>
  <c r="E5"/>
  <c r="E4"/>
  <c r="E3"/>
  <c r="E29" s="1"/>
  <c r="E43" l="1"/>
  <c r="E40"/>
  <c r="V52" i="25"/>
  <c r="N53"/>
  <c r="P53" s="1"/>
  <c r="V53" s="1"/>
  <c r="B3"/>
  <c r="G3" s="1"/>
  <c r="H3" s="1"/>
  <c r="I3" s="1"/>
  <c r="J3" s="1"/>
  <c r="V46"/>
  <c r="V47"/>
  <c r="N48"/>
  <c r="P48" s="1"/>
  <c r="V48" s="1"/>
  <c r="AX82" i="23"/>
  <c r="AY82" s="1"/>
  <c r="AZ82"/>
  <c r="BA82" s="1"/>
  <c r="BD82"/>
  <c r="BE82"/>
  <c r="BF82"/>
  <c r="AX84"/>
  <c r="AY84" s="1"/>
  <c r="AZ84"/>
  <c r="BA84" s="1"/>
  <c r="BD84"/>
  <c r="BE84"/>
  <c r="BF84"/>
  <c r="AX68"/>
  <c r="AY68" s="1"/>
  <c r="AZ68"/>
  <c r="BA68" s="1"/>
  <c r="BD68"/>
  <c r="BE68"/>
  <c r="BF68"/>
  <c r="AX49"/>
  <c r="AY49" s="1"/>
  <c r="AZ49"/>
  <c r="BA49" s="1"/>
  <c r="BD49"/>
  <c r="BE49"/>
  <c r="BF49"/>
  <c r="C82"/>
  <c r="C84"/>
  <c r="C68"/>
  <c r="C49"/>
  <c r="AR32" i="22"/>
  <c r="AS32"/>
  <c r="AT32" s="1"/>
  <c r="AW32"/>
  <c r="AX32"/>
  <c r="AY32"/>
  <c r="AZ32"/>
  <c r="BA32"/>
  <c r="BB32"/>
  <c r="BC32"/>
  <c r="BD32"/>
  <c r="BE32"/>
  <c r="BF32"/>
  <c r="BG32"/>
  <c r="BH32"/>
  <c r="C32" s="1"/>
  <c r="BI32"/>
  <c r="BJ32"/>
  <c r="BK32"/>
  <c r="BL32"/>
  <c r="BM32"/>
  <c r="BN32"/>
  <c r="BO32"/>
  <c r="BP32"/>
  <c r="BQ32"/>
  <c r="AR34"/>
  <c r="AS34"/>
  <c r="AT34" s="1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D32"/>
  <c r="E32"/>
  <c r="E34"/>
  <c r="K10" i="26"/>
  <c r="J10"/>
  <c r="I29"/>
  <c r="I30"/>
  <c r="I17"/>
  <c r="I28"/>
  <c r="I27"/>
  <c r="I26"/>
  <c r="I25"/>
  <c r="I24"/>
  <c r="I23"/>
  <c r="I22"/>
  <c r="I21"/>
  <c r="I20"/>
  <c r="I19"/>
  <c r="AB68" i="9"/>
  <c r="AA68"/>
  <c r="Z68"/>
  <c r="N68"/>
  <c r="M68"/>
  <c r="L68"/>
  <c r="K68"/>
  <c r="I68"/>
  <c r="D68"/>
  <c r="C34" i="22" l="1"/>
  <c r="BB82" i="23"/>
  <c r="BC82" s="1"/>
  <c r="N54" i="25"/>
  <c r="P54" s="1"/>
  <c r="V54" s="1"/>
  <c r="B29"/>
  <c r="G29" s="1"/>
  <c r="H29" s="1"/>
  <c r="I29" s="1"/>
  <c r="J29" s="1"/>
  <c r="AU32" i="22"/>
  <c r="AV32" s="1"/>
  <c r="AU34"/>
  <c r="AV34" s="1"/>
  <c r="BB49" i="23"/>
  <c r="BC49" s="1"/>
  <c r="BB68"/>
  <c r="BC68" s="1"/>
  <c r="BB84"/>
  <c r="BC84" s="1"/>
  <c r="D34" i="22"/>
  <c r="F68" i="9"/>
  <c r="CK82" i="23"/>
  <c r="H68" i="9"/>
  <c r="CR32" i="22"/>
  <c r="CP34"/>
  <c r="CP32"/>
  <c r="CS34"/>
  <c r="CQ34"/>
  <c r="CQ32"/>
  <c r="CR34"/>
  <c r="CS32"/>
  <c r="G68" i="9"/>
  <c r="CK49" i="23"/>
  <c r="CK68"/>
  <c r="CK84"/>
  <c r="C36" i="2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68"/>
  <c r="C69"/>
  <c r="C70"/>
  <c r="C71"/>
  <c r="C72"/>
  <c r="C73"/>
  <c r="C74"/>
  <c r="C75"/>
  <c r="C76"/>
  <c r="C77"/>
  <c r="C78"/>
  <c r="C79"/>
  <c r="C80"/>
  <c r="C81"/>
  <c r="C82"/>
  <c r="C83"/>
  <c r="C84"/>
  <c r="F26"/>
  <c r="F25"/>
  <c r="F17"/>
  <c r="F21"/>
  <c r="AX45" i="23"/>
  <c r="AY45" s="1"/>
  <c r="AZ45"/>
  <c r="BA45" s="1"/>
  <c r="BB45"/>
  <c r="BC45" s="1"/>
  <c r="BD45"/>
  <c r="BE45"/>
  <c r="BF45"/>
  <c r="AX23"/>
  <c r="AY23" s="1"/>
  <c r="AZ23"/>
  <c r="BA23" s="1"/>
  <c r="BD23"/>
  <c r="BE23"/>
  <c r="BF23"/>
  <c r="AX62"/>
  <c r="AY62" s="1"/>
  <c r="AZ62"/>
  <c r="BA62" s="1"/>
  <c r="BD62"/>
  <c r="BE62"/>
  <c r="BF62"/>
  <c r="AX65"/>
  <c r="AY65" s="1"/>
  <c r="AZ65"/>
  <c r="BA65" s="1"/>
  <c r="BD65"/>
  <c r="BE65"/>
  <c r="BF65"/>
  <c r="AX47"/>
  <c r="AY47" s="1"/>
  <c r="AZ47"/>
  <c r="BA47" s="1"/>
  <c r="BD47"/>
  <c r="BE47"/>
  <c r="BF47"/>
  <c r="C45"/>
  <c r="C23"/>
  <c r="C62"/>
  <c r="C65"/>
  <c r="C47"/>
  <c r="AR18" i="22"/>
  <c r="AS18"/>
  <c r="AT18" s="1"/>
  <c r="AW18"/>
  <c r="AX18"/>
  <c r="AY18"/>
  <c r="AZ18"/>
  <c r="BA18"/>
  <c r="BB18"/>
  <c r="BC18"/>
  <c r="BD18"/>
  <c r="BE18"/>
  <c r="BF18"/>
  <c r="BG18"/>
  <c r="BH18"/>
  <c r="BI18"/>
  <c r="BJ18"/>
  <c r="BK18"/>
  <c r="BL18"/>
  <c r="BM18"/>
  <c r="BN18"/>
  <c r="BO18"/>
  <c r="BP18"/>
  <c r="BQ18"/>
  <c r="D18"/>
  <c r="E18"/>
  <c r="F20" i="26" l="1"/>
  <c r="K17"/>
  <c r="C18" i="22"/>
  <c r="BB23" i="23"/>
  <c r="BC23" s="1"/>
  <c r="BB65"/>
  <c r="BC65" s="1"/>
  <c r="BB62"/>
  <c r="BC62" s="1"/>
  <c r="BB47"/>
  <c r="BC47" s="1"/>
  <c r="CT32" i="22"/>
  <c r="CQ18"/>
  <c r="CT34"/>
  <c r="CP18"/>
  <c r="CK45" i="23"/>
  <c r="F28" i="26"/>
  <c r="F29" s="1"/>
  <c r="F19"/>
  <c r="F22" s="1"/>
  <c r="F23" s="1"/>
  <c r="AU18" i="22"/>
  <c r="AV18" s="1"/>
  <c r="CS18"/>
  <c r="CR18"/>
  <c r="CK23" i="23"/>
  <c r="CK47"/>
  <c r="CK65"/>
  <c r="CK62"/>
  <c r="B39" i="25"/>
  <c r="B38"/>
  <c r="B37"/>
  <c r="B36"/>
  <c r="B35"/>
  <c r="B34"/>
  <c r="B33"/>
  <c r="B32"/>
  <c r="B31"/>
  <c r="B30"/>
  <c r="C57" i="6"/>
  <c r="F27" i="26" l="1"/>
  <c r="F30" s="1"/>
  <c r="CT18" i="22"/>
  <c r="K11" i="26" l="1"/>
  <c r="K7"/>
  <c r="K4"/>
  <c r="J11"/>
  <c r="J8"/>
  <c r="J7"/>
  <c r="J4"/>
  <c r="C36" i="6"/>
  <c r="C60" i="26"/>
  <c r="C61"/>
  <c r="C62"/>
  <c r="C63"/>
  <c r="C64"/>
  <c r="C65"/>
  <c r="C66"/>
  <c r="C67"/>
  <c r="C59"/>
  <c r="AR59" i="22"/>
  <c r="AS59"/>
  <c r="AT59" s="1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AR11"/>
  <c r="AS11"/>
  <c r="AT11" s="1"/>
  <c r="AW11"/>
  <c r="AX11"/>
  <c r="AY11"/>
  <c r="AZ11"/>
  <c r="BA11"/>
  <c r="BB11"/>
  <c r="BC11"/>
  <c r="BD11"/>
  <c r="BE11"/>
  <c r="BF11"/>
  <c r="BG11"/>
  <c r="BH11"/>
  <c r="BI11"/>
  <c r="BJ11"/>
  <c r="BK11"/>
  <c r="BL11"/>
  <c r="BM11"/>
  <c r="BN11"/>
  <c r="BO11"/>
  <c r="BP11"/>
  <c r="BQ11"/>
  <c r="E59"/>
  <c r="E11"/>
  <c r="BF40" i="23"/>
  <c r="BE40"/>
  <c r="BD40"/>
  <c r="AZ40"/>
  <c r="BA40" s="1"/>
  <c r="AX40"/>
  <c r="C40"/>
  <c r="B6" i="22"/>
  <c r="O97" i="7"/>
  <c r="N97"/>
  <c r="M97"/>
  <c r="L97"/>
  <c r="O92"/>
  <c r="N92"/>
  <c r="M92"/>
  <c r="O56"/>
  <c r="N56"/>
  <c r="M56"/>
  <c r="L92"/>
  <c r="K92"/>
  <c r="J92"/>
  <c r="I92"/>
  <c r="H92"/>
  <c r="G92"/>
  <c r="F92"/>
  <c r="H63"/>
  <c r="I63" s="1"/>
  <c r="J63" s="1"/>
  <c r="K63" s="1"/>
  <c r="L63" s="1"/>
  <c r="M63" s="1"/>
  <c r="H59"/>
  <c r="I59" s="1"/>
  <c r="J59" s="1"/>
  <c r="K59" s="1"/>
  <c r="L59" s="1"/>
  <c r="M59" s="1"/>
  <c r="N59" s="1"/>
  <c r="O59" s="1"/>
  <c r="AX60" i="23"/>
  <c r="AY60" s="1"/>
  <c r="AZ60"/>
  <c r="BA60" s="1"/>
  <c r="BD60"/>
  <c r="BE60"/>
  <c r="BF60"/>
  <c r="AX54"/>
  <c r="AY54" s="1"/>
  <c r="AZ54"/>
  <c r="BA54" s="1"/>
  <c r="BD54"/>
  <c r="BE54"/>
  <c r="BF54"/>
  <c r="C60"/>
  <c r="C54"/>
  <c r="AR60" i="22"/>
  <c r="AS60"/>
  <c r="AT60" s="1"/>
  <c r="AW60"/>
  <c r="AX60"/>
  <c r="AY60"/>
  <c r="AZ60"/>
  <c r="BA60"/>
  <c r="BB60"/>
  <c r="BC60"/>
  <c r="BD60"/>
  <c r="BE60"/>
  <c r="BF60"/>
  <c r="BG60"/>
  <c r="BH60"/>
  <c r="BI60"/>
  <c r="BJ60"/>
  <c r="BK60"/>
  <c r="BL60"/>
  <c r="BM60"/>
  <c r="BN60"/>
  <c r="BO60"/>
  <c r="BP60"/>
  <c r="BQ60"/>
  <c r="AR48"/>
  <c r="AS48"/>
  <c r="AT48" s="1"/>
  <c r="AW48"/>
  <c r="AX48"/>
  <c r="AY48"/>
  <c r="AZ48"/>
  <c r="BA48"/>
  <c r="BB48"/>
  <c r="BC48"/>
  <c r="BD48"/>
  <c r="BE48"/>
  <c r="BF48"/>
  <c r="BG48"/>
  <c r="BH48"/>
  <c r="BI48"/>
  <c r="BJ48"/>
  <c r="BK48"/>
  <c r="BL48"/>
  <c r="BM48"/>
  <c r="BN48"/>
  <c r="BO48"/>
  <c r="BP48"/>
  <c r="BQ48"/>
  <c r="AR17"/>
  <c r="AS17"/>
  <c r="AT17" s="1"/>
  <c r="AW17"/>
  <c r="AX17"/>
  <c r="AY17"/>
  <c r="AZ17"/>
  <c r="BA17"/>
  <c r="BB17"/>
  <c r="BC17"/>
  <c r="BD17"/>
  <c r="BE17"/>
  <c r="BF17"/>
  <c r="BG17"/>
  <c r="BH17"/>
  <c r="BI17"/>
  <c r="BJ17"/>
  <c r="BK17"/>
  <c r="BL17"/>
  <c r="BM17"/>
  <c r="BN17"/>
  <c r="BO17"/>
  <c r="BP17"/>
  <c r="BQ17"/>
  <c r="E60"/>
  <c r="E48"/>
  <c r="E17"/>
  <c r="D21" i="26"/>
  <c r="BU37" i="5"/>
  <c r="C61" i="6"/>
  <c r="C73"/>
  <c r="C68"/>
  <c r="S36" i="25"/>
  <c r="U36" s="1"/>
  <c r="S37" s="1"/>
  <c r="U37" s="1"/>
  <c r="S38" s="1"/>
  <c r="U38" s="1"/>
  <c r="N36"/>
  <c r="P36" s="1"/>
  <c r="N37" s="1"/>
  <c r="P37" s="1"/>
  <c r="N38" s="1"/>
  <c r="P38" s="1"/>
  <c r="S30"/>
  <c r="N30"/>
  <c r="C53" i="7"/>
  <c r="D53" s="1"/>
  <c r="E53" s="1"/>
  <c r="F53" s="1"/>
  <c r="G53" s="1"/>
  <c r="H53" s="1"/>
  <c r="I53" s="1"/>
  <c r="J53" s="1"/>
  <c r="K53" s="1"/>
  <c r="L53" s="1"/>
  <c r="M53" s="1"/>
  <c r="N53" s="1"/>
  <c r="O53" s="1"/>
  <c r="AX37" i="23"/>
  <c r="AY37" s="1"/>
  <c r="AZ37"/>
  <c r="BA37" s="1"/>
  <c r="BD37"/>
  <c r="BE37"/>
  <c r="BF37"/>
  <c r="C37"/>
  <c r="AR58" i="22"/>
  <c r="AS58"/>
  <c r="AT58" s="1"/>
  <c r="AW58"/>
  <c r="AX58"/>
  <c r="AY58"/>
  <c r="AZ58"/>
  <c r="BA58"/>
  <c r="BB58"/>
  <c r="BC58"/>
  <c r="BD58"/>
  <c r="BE58"/>
  <c r="BF58"/>
  <c r="BG58"/>
  <c r="BH58"/>
  <c r="BI58"/>
  <c r="BJ58"/>
  <c r="BK58"/>
  <c r="BL58"/>
  <c r="BM58"/>
  <c r="BN58"/>
  <c r="BO58"/>
  <c r="BP58"/>
  <c r="BQ58"/>
  <c r="AR29"/>
  <c r="AS29"/>
  <c r="AT29" s="1"/>
  <c r="AW29"/>
  <c r="AX29"/>
  <c r="AY29"/>
  <c r="AZ29"/>
  <c r="BA29"/>
  <c r="BB29"/>
  <c r="BC29"/>
  <c r="BD29"/>
  <c r="BE29"/>
  <c r="BF29"/>
  <c r="BG29"/>
  <c r="BH29"/>
  <c r="BI29"/>
  <c r="BJ29"/>
  <c r="BK29"/>
  <c r="BL29"/>
  <c r="BM29"/>
  <c r="BN29"/>
  <c r="BO29"/>
  <c r="BP29"/>
  <c r="BQ29"/>
  <c r="E58"/>
  <c r="E29"/>
  <c r="D17" l="1"/>
  <c r="C48"/>
  <c r="C60"/>
  <c r="D11"/>
  <c r="C59"/>
  <c r="P97" i="7"/>
  <c r="Q97" s="1"/>
  <c r="AU60" i="22"/>
  <c r="AV60" s="1"/>
  <c r="C11"/>
  <c r="D59"/>
  <c r="V38" i="25"/>
  <c r="CP11" i="22"/>
  <c r="CQ59"/>
  <c r="CR11"/>
  <c r="CQ11"/>
  <c r="CP59"/>
  <c r="CR59"/>
  <c r="V36" i="25"/>
  <c r="CS59" i="22"/>
  <c r="H3" i="26"/>
  <c r="K19"/>
  <c r="J19"/>
  <c r="J17"/>
  <c r="K21"/>
  <c r="J21"/>
  <c r="AU59" i="22"/>
  <c r="AV59" s="1"/>
  <c r="BB40" i="23"/>
  <c r="BC40" s="1"/>
  <c r="AY40"/>
  <c r="AU11" i="22"/>
  <c r="AV11" s="1"/>
  <c r="CK40" i="23"/>
  <c r="CS11" i="22"/>
  <c r="AU17"/>
  <c r="AV17" s="1"/>
  <c r="AU48"/>
  <c r="AV48" s="1"/>
  <c r="C29"/>
  <c r="D22" i="26"/>
  <c r="BB54" i="23"/>
  <c r="BC54" s="1"/>
  <c r="BB60"/>
  <c r="BC60" s="1"/>
  <c r="D58" i="22"/>
  <c r="C17"/>
  <c r="D48"/>
  <c r="D60"/>
  <c r="CP60"/>
  <c r="CP17"/>
  <c r="CR60"/>
  <c r="CQ60"/>
  <c r="CP48"/>
  <c r="CS60"/>
  <c r="N63" i="7"/>
  <c r="CQ48" i="22"/>
  <c r="CR17"/>
  <c r="CQ17"/>
  <c r="CR48"/>
  <c r="CK54" i="23"/>
  <c r="CK60"/>
  <c r="CS48" i="22"/>
  <c r="CP29"/>
  <c r="CS17"/>
  <c r="V37" i="25"/>
  <c r="CQ58" i="22"/>
  <c r="CQ29"/>
  <c r="D29"/>
  <c r="CR58"/>
  <c r="CP58"/>
  <c r="C58"/>
  <c r="AU58"/>
  <c r="AV58" s="1"/>
  <c r="CS58"/>
  <c r="AU29"/>
  <c r="AV29" s="1"/>
  <c r="P30" i="25"/>
  <c r="U30"/>
  <c r="S31" s="1"/>
  <c r="U31" s="1"/>
  <c r="S32" s="1"/>
  <c r="U32" s="1"/>
  <c r="BB37" i="23"/>
  <c r="BC37" s="1"/>
  <c r="CR29" i="22"/>
  <c r="CK37" i="23"/>
  <c r="CS29" i="22"/>
  <c r="H11" i="26"/>
  <c r="H8"/>
  <c r="K8" s="1"/>
  <c r="H4"/>
  <c r="B20"/>
  <c r="BT37" i="5"/>
  <c r="BS37"/>
  <c r="S24" i="25"/>
  <c r="U24" s="1"/>
  <c r="S23"/>
  <c r="U23" s="1"/>
  <c r="S22"/>
  <c r="U22" s="1"/>
  <c r="U21"/>
  <c r="S21"/>
  <c r="S20"/>
  <c r="U20" s="1"/>
  <c r="S19"/>
  <c r="U19" s="1"/>
  <c r="S18"/>
  <c r="U18" s="1"/>
  <c r="S17"/>
  <c r="U17" s="1"/>
  <c r="N24"/>
  <c r="P24" s="1"/>
  <c r="N23"/>
  <c r="P23" s="1"/>
  <c r="N22"/>
  <c r="P22" s="1"/>
  <c r="N21"/>
  <c r="P21" s="1"/>
  <c r="N20"/>
  <c r="P20" s="1"/>
  <c r="N19"/>
  <c r="P19" s="1"/>
  <c r="N18"/>
  <c r="P18" s="1"/>
  <c r="N17"/>
  <c r="S5"/>
  <c r="S6"/>
  <c r="U6" s="1"/>
  <c r="S7"/>
  <c r="U7" s="1"/>
  <c r="S8"/>
  <c r="U8" s="1"/>
  <c r="S9"/>
  <c r="U9" s="1"/>
  <c r="S10"/>
  <c r="U10" s="1"/>
  <c r="S11"/>
  <c r="U11" s="1"/>
  <c r="S4"/>
  <c r="U4" s="1"/>
  <c r="N5"/>
  <c r="P5" s="1"/>
  <c r="N6"/>
  <c r="P6" s="1"/>
  <c r="N7"/>
  <c r="P7" s="1"/>
  <c r="N8"/>
  <c r="P8" s="1"/>
  <c r="N9"/>
  <c r="P9" s="1"/>
  <c r="N10"/>
  <c r="N11"/>
  <c r="P11" s="1"/>
  <c r="N4"/>
  <c r="P4" s="1"/>
  <c r="C78" i="6"/>
  <c r="C88"/>
  <c r="C21"/>
  <c r="A86" i="26" l="1"/>
  <c r="A87"/>
  <c r="A90"/>
  <c r="A91"/>
  <c r="A94"/>
  <c r="A95"/>
  <c r="A88"/>
  <c r="A89"/>
  <c r="A92"/>
  <c r="A93"/>
  <c r="K3"/>
  <c r="J3"/>
  <c r="N31" i="25"/>
  <c r="P31" s="1"/>
  <c r="D25" i="26"/>
  <c r="D26"/>
  <c r="CT11" i="22"/>
  <c r="N25" i="25"/>
  <c r="P25" s="1"/>
  <c r="CT59" i="22"/>
  <c r="P10" i="25"/>
  <c r="N12" s="1"/>
  <c r="P12" s="1"/>
  <c r="H9" i="26"/>
  <c r="K22"/>
  <c r="J22"/>
  <c r="H6"/>
  <c r="K20"/>
  <c r="J20"/>
  <c r="D35"/>
  <c r="D37"/>
  <c r="D39"/>
  <c r="D41"/>
  <c r="D43"/>
  <c r="D45"/>
  <c r="D47"/>
  <c r="D49"/>
  <c r="D51"/>
  <c r="D53"/>
  <c r="D55"/>
  <c r="D57"/>
  <c r="D59"/>
  <c r="D61"/>
  <c r="D63"/>
  <c r="D65"/>
  <c r="D67"/>
  <c r="D69"/>
  <c r="D71"/>
  <c r="D73"/>
  <c r="D75"/>
  <c r="D77"/>
  <c r="D79"/>
  <c r="D81"/>
  <c r="D83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68"/>
  <c r="B69"/>
  <c r="B70"/>
  <c r="B71"/>
  <c r="B72"/>
  <c r="B73"/>
  <c r="B74"/>
  <c r="B75"/>
  <c r="B76"/>
  <c r="B77"/>
  <c r="B78"/>
  <c r="B79"/>
  <c r="B80"/>
  <c r="B81"/>
  <c r="B82"/>
  <c r="B83"/>
  <c r="B84"/>
  <c r="D34"/>
  <c r="D36"/>
  <c r="D38"/>
  <c r="D40"/>
  <c r="D42"/>
  <c r="D44"/>
  <c r="D46"/>
  <c r="D48"/>
  <c r="D50"/>
  <c r="D52"/>
  <c r="D54"/>
  <c r="D56"/>
  <c r="D58"/>
  <c r="D60"/>
  <c r="D62"/>
  <c r="D64"/>
  <c r="D66"/>
  <c r="D68"/>
  <c r="D70"/>
  <c r="D72"/>
  <c r="D74"/>
  <c r="D76"/>
  <c r="D78"/>
  <c r="D80"/>
  <c r="D82"/>
  <c r="D84"/>
  <c r="D33"/>
  <c r="A122"/>
  <c r="D122" s="1"/>
  <c r="A124"/>
  <c r="D124" s="1"/>
  <c r="A126"/>
  <c r="D126" s="1"/>
  <c r="A118"/>
  <c r="D118" s="1"/>
  <c r="A120"/>
  <c r="D120" s="1"/>
  <c r="A123"/>
  <c r="D123" s="1"/>
  <c r="A125"/>
  <c r="D125" s="1"/>
  <c r="A117"/>
  <c r="D117" s="1"/>
  <c r="A119"/>
  <c r="D119" s="1"/>
  <c r="A121"/>
  <c r="D121" s="1"/>
  <c r="A114"/>
  <c r="D114" s="1"/>
  <c r="A115"/>
  <c r="D115" s="1"/>
  <c r="A116"/>
  <c r="D116" s="1"/>
  <c r="A108"/>
  <c r="D108" s="1"/>
  <c r="A109"/>
  <c r="D109" s="1"/>
  <c r="A110"/>
  <c r="D110" s="1"/>
  <c r="A113"/>
  <c r="D113" s="1"/>
  <c r="A99"/>
  <c r="D99" s="1"/>
  <c r="A100"/>
  <c r="D100" s="1"/>
  <c r="A101"/>
  <c r="D101" s="1"/>
  <c r="A102"/>
  <c r="D102" s="1"/>
  <c r="A103"/>
  <c r="D103" s="1"/>
  <c r="A104"/>
  <c r="D104" s="1"/>
  <c r="A105"/>
  <c r="D105" s="1"/>
  <c r="A106"/>
  <c r="D106" s="1"/>
  <c r="A107"/>
  <c r="D107" s="1"/>
  <c r="A111"/>
  <c r="D111" s="1"/>
  <c r="A112"/>
  <c r="D112" s="1"/>
  <c r="A98"/>
  <c r="D98" s="1"/>
  <c r="A97"/>
  <c r="D97" s="1"/>
  <c r="A96"/>
  <c r="D96" s="1"/>
  <c r="B60"/>
  <c r="B62"/>
  <c r="B67"/>
  <c r="B65"/>
  <c r="B63"/>
  <c r="B59"/>
  <c r="B61"/>
  <c r="B66"/>
  <c r="B64"/>
  <c r="D23"/>
  <c r="CT60" i="22"/>
  <c r="CT17"/>
  <c r="CT48"/>
  <c r="O63" i="7"/>
  <c r="V20" i="25"/>
  <c r="V21"/>
  <c r="V24"/>
  <c r="V18"/>
  <c r="V19"/>
  <c r="V22"/>
  <c r="V23"/>
  <c r="CT58" i="22"/>
  <c r="CT29"/>
  <c r="V30" i="25"/>
  <c r="V8"/>
  <c r="V4"/>
  <c r="S25"/>
  <c r="U25" s="1"/>
  <c r="V11"/>
  <c r="V7"/>
  <c r="V6"/>
  <c r="P17"/>
  <c r="V17" s="1"/>
  <c r="V9"/>
  <c r="U5"/>
  <c r="V5" s="1"/>
  <c r="C92" i="26" l="1"/>
  <c r="D92"/>
  <c r="C88"/>
  <c r="D88"/>
  <c r="C94"/>
  <c r="D94"/>
  <c r="C90"/>
  <c r="D90"/>
  <c r="C86"/>
  <c r="D86"/>
  <c r="C93"/>
  <c r="D93"/>
  <c r="C89"/>
  <c r="D89"/>
  <c r="D95"/>
  <c r="C95"/>
  <c r="D91"/>
  <c r="C91"/>
  <c r="D87"/>
  <c r="C87"/>
  <c r="K9"/>
  <c r="J9"/>
  <c r="K6"/>
  <c r="J6"/>
  <c r="V10" i="25"/>
  <c r="V31"/>
  <c r="N32"/>
  <c r="P32" s="1"/>
  <c r="V32" s="1"/>
  <c r="S12"/>
  <c r="U12" s="1"/>
  <c r="V12" s="1"/>
  <c r="V25"/>
  <c r="D24" i="26"/>
  <c r="K23"/>
  <c r="J23"/>
  <c r="K25"/>
  <c r="J25"/>
  <c r="H14"/>
  <c r="K26"/>
  <c r="J26"/>
  <c r="C96"/>
  <c r="C98"/>
  <c r="C111"/>
  <c r="C106"/>
  <c r="C104"/>
  <c r="C102"/>
  <c r="C100"/>
  <c r="C113"/>
  <c r="C109"/>
  <c r="C116"/>
  <c r="C114"/>
  <c r="C119"/>
  <c r="C125"/>
  <c r="C120"/>
  <c r="C126"/>
  <c r="C122"/>
  <c r="C97"/>
  <c r="C112"/>
  <c r="C107"/>
  <c r="C105"/>
  <c r="C103"/>
  <c r="C101"/>
  <c r="C99"/>
  <c r="C110"/>
  <c r="C108"/>
  <c r="C115"/>
  <c r="C121"/>
  <c r="C117"/>
  <c r="C123"/>
  <c r="C118"/>
  <c r="C124"/>
  <c r="H13"/>
  <c r="D28"/>
  <c r="D29" s="1"/>
  <c r="D27"/>
  <c r="L9" l="1"/>
  <c r="H16"/>
  <c r="J16" s="1"/>
  <c r="J13"/>
  <c r="K13"/>
  <c r="K14"/>
  <c r="J14"/>
  <c r="K24"/>
  <c r="J24"/>
  <c r="K27"/>
  <c r="J27"/>
  <c r="K28"/>
  <c r="D30"/>
  <c r="D31" s="1"/>
  <c r="J28"/>
  <c r="C50" i="7"/>
  <c r="D50" s="1"/>
  <c r="E50" s="1"/>
  <c r="F50" s="1"/>
  <c r="C54"/>
  <c r="D54" s="1"/>
  <c r="E54" s="1"/>
  <c r="F54" s="1"/>
  <c r="G54" s="1"/>
  <c r="H54" s="1"/>
  <c r="I54" s="1"/>
  <c r="J54" s="1"/>
  <c r="K54" s="1"/>
  <c r="L54" s="1"/>
  <c r="M54" s="1"/>
  <c r="N54" s="1"/>
  <c r="O54" s="1"/>
  <c r="K16" i="26" l="1"/>
  <c r="G50" i="7"/>
  <c r="F48"/>
  <c r="K30" i="26"/>
  <c r="J30"/>
  <c r="J29"/>
  <c r="K29"/>
  <c r="F57" i="7" l="1"/>
  <c r="F90" s="1"/>
  <c r="F58"/>
  <c r="F64" s="1"/>
  <c r="H50"/>
  <c r="G48"/>
  <c r="G58" s="1"/>
  <c r="G64" s="1"/>
  <c r="AR15" i="22"/>
  <c r="AS15"/>
  <c r="AT15" s="1"/>
  <c r="AW15"/>
  <c r="AX15"/>
  <c r="AY15"/>
  <c r="AZ15"/>
  <c r="BA15"/>
  <c r="BB15"/>
  <c r="BC15"/>
  <c r="BD15"/>
  <c r="BE15"/>
  <c r="BF15"/>
  <c r="BG15"/>
  <c r="BH15"/>
  <c r="BI15"/>
  <c r="BJ15"/>
  <c r="BK15"/>
  <c r="BL15"/>
  <c r="BM15"/>
  <c r="BN15"/>
  <c r="BO15"/>
  <c r="BP15"/>
  <c r="BQ15"/>
  <c r="E15"/>
  <c r="G57" i="7" l="1"/>
  <c r="G90" s="1"/>
  <c r="I50"/>
  <c r="H48"/>
  <c r="D15" i="22"/>
  <c r="AU15"/>
  <c r="AV15" s="1"/>
  <c r="C15"/>
  <c r="CP15"/>
  <c r="CR15"/>
  <c r="CS15"/>
  <c r="CQ15"/>
  <c r="J50" i="7" l="1"/>
  <c r="I48"/>
  <c r="I58" s="1"/>
  <c r="I64" s="1"/>
  <c r="CT15" i="22"/>
  <c r="AB62" i="9"/>
  <c r="AA62"/>
  <c r="Z62"/>
  <c r="N62"/>
  <c r="M62"/>
  <c r="L62"/>
  <c r="K62"/>
  <c r="I62"/>
  <c r="C92" i="6"/>
  <c r="C20"/>
  <c r="C43"/>
  <c r="C32"/>
  <c r="C48"/>
  <c r="C44"/>
  <c r="C46"/>
  <c r="C50"/>
  <c r="C87"/>
  <c r="C27"/>
  <c r="C16"/>
  <c r="C12"/>
  <c r="C28"/>
  <c r="C58"/>
  <c r="C37"/>
  <c r="C29"/>
  <c r="C11"/>
  <c r="C18"/>
  <c r="C69"/>
  <c r="C77"/>
  <c r="C74"/>
  <c r="C24"/>
  <c r="C17"/>
  <c r="C63"/>
  <c r="C75"/>
  <c r="C33"/>
  <c r="C89"/>
  <c r="BI10" i="23"/>
  <c r="BJ10"/>
  <c r="BK10"/>
  <c r="BL10"/>
  <c r="BM10"/>
  <c r="BN10"/>
  <c r="BO10"/>
  <c r="BP10"/>
  <c r="BQ10"/>
  <c r="BR10"/>
  <c r="BS10"/>
  <c r="BT10"/>
  <c r="BU10"/>
  <c r="BV10"/>
  <c r="BW10"/>
  <c r="BX10"/>
  <c r="BY10"/>
  <c r="BZ10"/>
  <c r="CA10"/>
  <c r="CB10"/>
  <c r="CC10"/>
  <c r="CD10"/>
  <c r="CE10"/>
  <c r="CF10"/>
  <c r="CG10"/>
  <c r="CH10"/>
  <c r="CI10"/>
  <c r="CJ10"/>
  <c r="BH10"/>
  <c r="BG10"/>
  <c r="BF77"/>
  <c r="BE77"/>
  <c r="BD77"/>
  <c r="AZ77"/>
  <c r="BA77" s="1"/>
  <c r="AX77"/>
  <c r="AY77" s="1"/>
  <c r="C77"/>
  <c r="BF56"/>
  <c r="BE56"/>
  <c r="BD56"/>
  <c r="AZ56"/>
  <c r="BA56" s="1"/>
  <c r="AX56"/>
  <c r="AY56" s="1"/>
  <c r="C56"/>
  <c r="BF58"/>
  <c r="BE58"/>
  <c r="BD58"/>
  <c r="AZ58"/>
  <c r="BA58" s="1"/>
  <c r="AX58"/>
  <c r="AY58" s="1"/>
  <c r="C58"/>
  <c r="BF78"/>
  <c r="BE78"/>
  <c r="BD78"/>
  <c r="AZ78"/>
  <c r="BA78" s="1"/>
  <c r="AX78"/>
  <c r="AY78" s="1"/>
  <c r="C78"/>
  <c r="BF79"/>
  <c r="BE79"/>
  <c r="BD79"/>
  <c r="AZ79"/>
  <c r="BA79" s="1"/>
  <c r="AX79"/>
  <c r="AY79" s="1"/>
  <c r="C79"/>
  <c r="BF52"/>
  <c r="BE52"/>
  <c r="BD52"/>
  <c r="AZ52"/>
  <c r="BA52" s="1"/>
  <c r="AX52"/>
  <c r="AY52" s="1"/>
  <c r="C52"/>
  <c r="BF53"/>
  <c r="BE53"/>
  <c r="BD53"/>
  <c r="AZ53"/>
  <c r="BA53" s="1"/>
  <c r="AX53"/>
  <c r="AY53" s="1"/>
  <c r="C53"/>
  <c r="BF21"/>
  <c r="BE21"/>
  <c r="BD21"/>
  <c r="AZ21"/>
  <c r="BA21" s="1"/>
  <c r="AX21"/>
  <c r="AY21" s="1"/>
  <c r="C21"/>
  <c r="BF64"/>
  <c r="BE64"/>
  <c r="BD64"/>
  <c r="AZ64"/>
  <c r="BA64" s="1"/>
  <c r="AX64"/>
  <c r="AY64" s="1"/>
  <c r="C64"/>
  <c r="BF48"/>
  <c r="BE48"/>
  <c r="BD48"/>
  <c r="AZ48"/>
  <c r="BA48" s="1"/>
  <c r="AX48"/>
  <c r="AY48" s="1"/>
  <c r="C48"/>
  <c r="BF67"/>
  <c r="BE67"/>
  <c r="BD67"/>
  <c r="AZ67"/>
  <c r="BA67" s="1"/>
  <c r="AX67"/>
  <c r="AY67" s="1"/>
  <c r="C67"/>
  <c r="BF51"/>
  <c r="BE51"/>
  <c r="BD51"/>
  <c r="AZ51"/>
  <c r="BA51" s="1"/>
  <c r="AX51"/>
  <c r="AY51" s="1"/>
  <c r="C51"/>
  <c r="BF80"/>
  <c r="BE80"/>
  <c r="BD80"/>
  <c r="AZ80"/>
  <c r="BA80" s="1"/>
  <c r="AX80"/>
  <c r="AY80" s="1"/>
  <c r="C80"/>
  <c r="BF11"/>
  <c r="BE11"/>
  <c r="BD11"/>
  <c r="AZ11"/>
  <c r="BA11" s="1"/>
  <c r="AX11"/>
  <c r="AY11" s="1"/>
  <c r="C11"/>
  <c r="BF31"/>
  <c r="BE31"/>
  <c r="BD31"/>
  <c r="AZ31"/>
  <c r="BA31" s="1"/>
  <c r="AX31"/>
  <c r="AY31" s="1"/>
  <c r="C31"/>
  <c r="BF26"/>
  <c r="BE26"/>
  <c r="BD26"/>
  <c r="AZ26"/>
  <c r="BA26" s="1"/>
  <c r="AX26"/>
  <c r="AY26" s="1"/>
  <c r="C26"/>
  <c r="BF61"/>
  <c r="BE61"/>
  <c r="BD61"/>
  <c r="AZ61"/>
  <c r="BA61" s="1"/>
  <c r="AX61"/>
  <c r="AY61" s="1"/>
  <c r="C61"/>
  <c r="BF70"/>
  <c r="BE70"/>
  <c r="BD70"/>
  <c r="AZ70"/>
  <c r="BA70" s="1"/>
  <c r="AX70"/>
  <c r="AY70" s="1"/>
  <c r="C70"/>
  <c r="BF32"/>
  <c r="BE32"/>
  <c r="BD32"/>
  <c r="AZ32"/>
  <c r="BA32" s="1"/>
  <c r="AX32"/>
  <c r="AY32" s="1"/>
  <c r="C32"/>
  <c r="BF43"/>
  <c r="BE43"/>
  <c r="BD43"/>
  <c r="AZ43"/>
  <c r="BA43" s="1"/>
  <c r="AX43"/>
  <c r="AY43" s="1"/>
  <c r="C43"/>
  <c r="BF20"/>
  <c r="BE20"/>
  <c r="BD20"/>
  <c r="AZ20"/>
  <c r="BA20" s="1"/>
  <c r="AX20"/>
  <c r="AY20" s="1"/>
  <c r="C20"/>
  <c r="BF35"/>
  <c r="BE35"/>
  <c r="BD35"/>
  <c r="AZ35"/>
  <c r="BA35" s="1"/>
  <c r="AX35"/>
  <c r="AY35" s="1"/>
  <c r="C35"/>
  <c r="BF63"/>
  <c r="BE63"/>
  <c r="BD63"/>
  <c r="AZ63"/>
  <c r="BA63" s="1"/>
  <c r="AX63"/>
  <c r="AY63" s="1"/>
  <c r="C63"/>
  <c r="BF39"/>
  <c r="BE39"/>
  <c r="BD39"/>
  <c r="AZ39"/>
  <c r="BA39" s="1"/>
  <c r="AX39"/>
  <c r="AY39" s="1"/>
  <c r="C39"/>
  <c r="BF30"/>
  <c r="BE30"/>
  <c r="BD30"/>
  <c r="AZ30"/>
  <c r="BA30" s="1"/>
  <c r="AX30"/>
  <c r="AY30" s="1"/>
  <c r="C30"/>
  <c r="BF69"/>
  <c r="BE69"/>
  <c r="BD69"/>
  <c r="AZ69"/>
  <c r="BA69" s="1"/>
  <c r="AX69"/>
  <c r="AY69" s="1"/>
  <c r="C69"/>
  <c r="BF59"/>
  <c r="BE59"/>
  <c r="BD59"/>
  <c r="AZ59"/>
  <c r="BA59" s="1"/>
  <c r="AX59"/>
  <c r="AY59" s="1"/>
  <c r="C59"/>
  <c r="BF46"/>
  <c r="BE46"/>
  <c r="BD46"/>
  <c r="AZ46"/>
  <c r="BA46" s="1"/>
  <c r="AX46"/>
  <c r="AY46" s="1"/>
  <c r="C46"/>
  <c r="BF73"/>
  <c r="BE73"/>
  <c r="BD73"/>
  <c r="AZ73"/>
  <c r="BA73" s="1"/>
  <c r="AX73"/>
  <c r="AY73" s="1"/>
  <c r="C73"/>
  <c r="BF83"/>
  <c r="BE83"/>
  <c r="BD83"/>
  <c r="AZ83"/>
  <c r="BA83" s="1"/>
  <c r="AX83"/>
  <c r="AY83" s="1"/>
  <c r="C83"/>
  <c r="BF25"/>
  <c r="BE25"/>
  <c r="BD25"/>
  <c r="AZ25"/>
  <c r="BA25" s="1"/>
  <c r="AX25"/>
  <c r="AY25" s="1"/>
  <c r="C25"/>
  <c r="BF38"/>
  <c r="BE38"/>
  <c r="BD38"/>
  <c r="AZ38"/>
  <c r="BA38" s="1"/>
  <c r="AX38"/>
  <c r="AY38" s="1"/>
  <c r="C38"/>
  <c r="BF57"/>
  <c r="BE57"/>
  <c r="BD57"/>
  <c r="AZ57"/>
  <c r="BA57" s="1"/>
  <c r="AX57"/>
  <c r="AY57" s="1"/>
  <c r="C57"/>
  <c r="BF41"/>
  <c r="BE41"/>
  <c r="BD41"/>
  <c r="AZ41"/>
  <c r="BA41" s="1"/>
  <c r="AX41"/>
  <c r="AY41" s="1"/>
  <c r="C41"/>
  <c r="BF55"/>
  <c r="BE55"/>
  <c r="BD55"/>
  <c r="AZ55"/>
  <c r="BA55" s="1"/>
  <c r="AX55"/>
  <c r="AY55" s="1"/>
  <c r="C55"/>
  <c r="BF66"/>
  <c r="BE66"/>
  <c r="BD66"/>
  <c r="AZ66"/>
  <c r="BA66" s="1"/>
  <c r="AX66"/>
  <c r="AY66" s="1"/>
  <c r="C66"/>
  <c r="BF42"/>
  <c r="BE42"/>
  <c r="BD42"/>
  <c r="AZ42"/>
  <c r="BA42" s="1"/>
  <c r="AX42"/>
  <c r="AY42" s="1"/>
  <c r="C42"/>
  <c r="BF44"/>
  <c r="BE44"/>
  <c r="BD44"/>
  <c r="AZ44"/>
  <c r="BA44" s="1"/>
  <c r="AX44"/>
  <c r="AY44" s="1"/>
  <c r="C44"/>
  <c r="BF29"/>
  <c r="BE29"/>
  <c r="BD29"/>
  <c r="AZ29"/>
  <c r="BA29" s="1"/>
  <c r="AX29"/>
  <c r="AY29" s="1"/>
  <c r="C29"/>
  <c r="BF81"/>
  <c r="BE81"/>
  <c r="BD81"/>
  <c r="AZ81"/>
  <c r="BA81" s="1"/>
  <c r="AX81"/>
  <c r="AY81" s="1"/>
  <c r="C81"/>
  <c r="D8"/>
  <c r="B7"/>
  <c r="B6"/>
  <c r="B5"/>
  <c r="B4"/>
  <c r="B3"/>
  <c r="B2"/>
  <c r="K50" i="7" l="1"/>
  <c r="J48"/>
  <c r="J58" s="1"/>
  <c r="J64" s="1"/>
  <c r="F62" i="9"/>
  <c r="H62"/>
  <c r="G62"/>
  <c r="CK29" i="23"/>
  <c r="CK70"/>
  <c r="CK53"/>
  <c r="CK43"/>
  <c r="CK20"/>
  <c r="CK21"/>
  <c r="CK48"/>
  <c r="CK46"/>
  <c r="CK30"/>
  <c r="CK63"/>
  <c r="CK38"/>
  <c r="CK80"/>
  <c r="CK81"/>
  <c r="CK52"/>
  <c r="CK25"/>
  <c r="CK41"/>
  <c r="CK58"/>
  <c r="CK78"/>
  <c r="CK61"/>
  <c r="CK69"/>
  <c r="CK66"/>
  <c r="CK56"/>
  <c r="CK64"/>
  <c r="CK31"/>
  <c r="CK35"/>
  <c r="B8"/>
  <c r="E8" s="1"/>
  <c r="CK67"/>
  <c r="CK44"/>
  <c r="CK11"/>
  <c r="CK39"/>
  <c r="CK59"/>
  <c r="CK83"/>
  <c r="CK57"/>
  <c r="CK77"/>
  <c r="CK79"/>
  <c r="CK51"/>
  <c r="CK26"/>
  <c r="CK32"/>
  <c r="CK73"/>
  <c r="CK55"/>
  <c r="CK42"/>
  <c r="E6"/>
  <c r="BB81"/>
  <c r="BC81" s="1"/>
  <c r="BB66"/>
  <c r="BC66" s="1"/>
  <c r="BB55"/>
  <c r="BC55" s="1"/>
  <c r="BB41"/>
  <c r="BC41" s="1"/>
  <c r="BB57"/>
  <c r="BC57" s="1"/>
  <c r="BB25"/>
  <c r="BC25" s="1"/>
  <c r="BB83"/>
  <c r="BC83" s="1"/>
  <c r="BB73"/>
  <c r="BC73" s="1"/>
  <c r="BB46"/>
  <c r="BC46" s="1"/>
  <c r="BB59"/>
  <c r="BC59" s="1"/>
  <c r="BB69"/>
  <c r="BC69" s="1"/>
  <c r="BB30"/>
  <c r="BC30" s="1"/>
  <c r="BB39"/>
  <c r="BC39" s="1"/>
  <c r="BB63"/>
  <c r="BC63" s="1"/>
  <c r="BB35"/>
  <c r="BC35" s="1"/>
  <c r="BB20"/>
  <c r="BC20" s="1"/>
  <c r="BB43"/>
  <c r="BC43" s="1"/>
  <c r="BB32"/>
  <c r="BC32" s="1"/>
  <c r="BB70"/>
  <c r="BC70" s="1"/>
  <c r="BB61"/>
  <c r="BC61" s="1"/>
  <c r="BB26"/>
  <c r="BC26" s="1"/>
  <c r="BB31"/>
  <c r="BC31" s="1"/>
  <c r="BB11"/>
  <c r="BC11" s="1"/>
  <c r="BB80"/>
  <c r="BC80" s="1"/>
  <c r="BB51"/>
  <c r="BC51" s="1"/>
  <c r="BB67"/>
  <c r="BC67" s="1"/>
  <c r="BB48"/>
  <c r="BC48" s="1"/>
  <c r="BB64"/>
  <c r="BC64" s="1"/>
  <c r="BB21"/>
  <c r="BC21" s="1"/>
  <c r="BB53"/>
  <c r="BC53" s="1"/>
  <c r="BB52"/>
  <c r="BC52" s="1"/>
  <c r="BB79"/>
  <c r="BC79" s="1"/>
  <c r="BB78"/>
  <c r="BC78" s="1"/>
  <c r="BB58"/>
  <c r="BC58" s="1"/>
  <c r="BB56"/>
  <c r="BC56" s="1"/>
  <c r="BB77"/>
  <c r="BC77" s="1"/>
  <c r="E2"/>
  <c r="E4"/>
  <c r="BB29"/>
  <c r="BC29" s="1"/>
  <c r="BB44"/>
  <c r="BC44" s="1"/>
  <c r="BB42"/>
  <c r="BC42" s="1"/>
  <c r="BB38"/>
  <c r="BC38" s="1"/>
  <c r="E3"/>
  <c r="E5"/>
  <c r="CF10" i="22"/>
  <c r="CG10"/>
  <c r="CH10"/>
  <c r="CI10"/>
  <c r="CJ10"/>
  <c r="CK10"/>
  <c r="CL10"/>
  <c r="CM10"/>
  <c r="CN10"/>
  <c r="CO10"/>
  <c r="BT10"/>
  <c r="BU10"/>
  <c r="BV10"/>
  <c r="BW10"/>
  <c r="BX10"/>
  <c r="BY10"/>
  <c r="BZ10"/>
  <c r="CA10"/>
  <c r="CB10"/>
  <c r="CC10"/>
  <c r="CD10"/>
  <c r="CE10"/>
  <c r="BS10"/>
  <c r="BR10"/>
  <c r="BQ38"/>
  <c r="BP38"/>
  <c r="BO38"/>
  <c r="BN38"/>
  <c r="BM38"/>
  <c r="BL38"/>
  <c r="BK38"/>
  <c r="BJ38"/>
  <c r="BI38"/>
  <c r="BH38"/>
  <c r="BG38"/>
  <c r="BF38"/>
  <c r="BE38"/>
  <c r="BD38"/>
  <c r="BC38"/>
  <c r="BB38"/>
  <c r="BA38"/>
  <c r="AZ38"/>
  <c r="AY38"/>
  <c r="AX38"/>
  <c r="AW38"/>
  <c r="AS38"/>
  <c r="AT38" s="1"/>
  <c r="AR38"/>
  <c r="E38"/>
  <c r="BQ57"/>
  <c r="BP57"/>
  <c r="BO57"/>
  <c r="BN57"/>
  <c r="BM57"/>
  <c r="BL57"/>
  <c r="BK57"/>
  <c r="BJ57"/>
  <c r="BI57"/>
  <c r="BH57"/>
  <c r="BG57"/>
  <c r="BF57"/>
  <c r="BE57"/>
  <c r="BD57"/>
  <c r="BC57"/>
  <c r="BB57"/>
  <c r="BA57"/>
  <c r="AZ57"/>
  <c r="AY57"/>
  <c r="AX57"/>
  <c r="AW57"/>
  <c r="AS57"/>
  <c r="AT57" s="1"/>
  <c r="AR57"/>
  <c r="E57"/>
  <c r="BQ16"/>
  <c r="BP16"/>
  <c r="BO16"/>
  <c r="BN16"/>
  <c r="BM16"/>
  <c r="BL16"/>
  <c r="BK16"/>
  <c r="BJ16"/>
  <c r="BI16"/>
  <c r="BH16"/>
  <c r="BG16"/>
  <c r="BF16"/>
  <c r="BE16"/>
  <c r="BD16"/>
  <c r="BC16"/>
  <c r="BB16"/>
  <c r="BA16"/>
  <c r="AZ16"/>
  <c r="AY16"/>
  <c r="AX16"/>
  <c r="AW16"/>
  <c r="AS16"/>
  <c r="AT16" s="1"/>
  <c r="AR16"/>
  <c r="E16"/>
  <c r="BQ64"/>
  <c r="BP64"/>
  <c r="BO64"/>
  <c r="BN64"/>
  <c r="BM64"/>
  <c r="BL64"/>
  <c r="BK64"/>
  <c r="BJ64"/>
  <c r="BI64"/>
  <c r="BH64"/>
  <c r="BG64"/>
  <c r="BF64"/>
  <c r="BE64"/>
  <c r="BD64"/>
  <c r="BC64"/>
  <c r="BB64"/>
  <c r="BA64"/>
  <c r="AZ64"/>
  <c r="AY64"/>
  <c r="AX64"/>
  <c r="AW64"/>
  <c r="AS64"/>
  <c r="AT64" s="1"/>
  <c r="AR64"/>
  <c r="E64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S39"/>
  <c r="AT39" s="1"/>
  <c r="AR39"/>
  <c r="E39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S22"/>
  <c r="AT22" s="1"/>
  <c r="AR22"/>
  <c r="E22"/>
  <c r="BQ53"/>
  <c r="BP53"/>
  <c r="BO53"/>
  <c r="BN53"/>
  <c r="BM53"/>
  <c r="BL53"/>
  <c r="BK53"/>
  <c r="BJ53"/>
  <c r="BI53"/>
  <c r="BH53"/>
  <c r="BG53"/>
  <c r="BF53"/>
  <c r="BE53"/>
  <c r="BD53"/>
  <c r="BC53"/>
  <c r="BB53"/>
  <c r="BA53"/>
  <c r="AZ53"/>
  <c r="AY53"/>
  <c r="AX53"/>
  <c r="AW53"/>
  <c r="AS53"/>
  <c r="AT53" s="1"/>
  <c r="AR53"/>
  <c r="E53"/>
  <c r="BQ27"/>
  <c r="BP27"/>
  <c r="BO27"/>
  <c r="BN27"/>
  <c r="BM27"/>
  <c r="BL27"/>
  <c r="BK27"/>
  <c r="BJ27"/>
  <c r="BI27"/>
  <c r="BH27"/>
  <c r="BG27"/>
  <c r="BF27"/>
  <c r="BE27"/>
  <c r="BD27"/>
  <c r="BC27"/>
  <c r="BB27"/>
  <c r="BA27"/>
  <c r="AZ27"/>
  <c r="AY27"/>
  <c r="AX27"/>
  <c r="AW27"/>
  <c r="AS27"/>
  <c r="AT27" s="1"/>
  <c r="AR27"/>
  <c r="E27"/>
  <c r="BQ41"/>
  <c r="BP41"/>
  <c r="BO41"/>
  <c r="BN41"/>
  <c r="BM41"/>
  <c r="BL41"/>
  <c r="BK41"/>
  <c r="BJ41"/>
  <c r="BI41"/>
  <c r="BH41"/>
  <c r="BG41"/>
  <c r="BF41"/>
  <c r="BE41"/>
  <c r="BD41"/>
  <c r="BC41"/>
  <c r="BB41"/>
  <c r="BA41"/>
  <c r="AZ41"/>
  <c r="AY41"/>
  <c r="AX41"/>
  <c r="AW41"/>
  <c r="AS41"/>
  <c r="AT41" s="1"/>
  <c r="AR41"/>
  <c r="E41"/>
  <c r="BQ20"/>
  <c r="BP20"/>
  <c r="BO20"/>
  <c r="BN20"/>
  <c r="BM20"/>
  <c r="BL20"/>
  <c r="BK20"/>
  <c r="BJ20"/>
  <c r="BI20"/>
  <c r="BH20"/>
  <c r="BG20"/>
  <c r="BF20"/>
  <c r="BE20"/>
  <c r="BD20"/>
  <c r="BC20"/>
  <c r="BB20"/>
  <c r="BA20"/>
  <c r="AZ20"/>
  <c r="AY20"/>
  <c r="AX20"/>
  <c r="AW20"/>
  <c r="AS20"/>
  <c r="AT20" s="1"/>
  <c r="AR20"/>
  <c r="E20"/>
  <c r="BQ65"/>
  <c r="BP65"/>
  <c r="BO65"/>
  <c r="BN65"/>
  <c r="BM65"/>
  <c r="BL65"/>
  <c r="BK65"/>
  <c r="BJ65"/>
  <c r="BI65"/>
  <c r="BH65"/>
  <c r="BG65"/>
  <c r="BF65"/>
  <c r="BE65"/>
  <c r="BD65"/>
  <c r="BC65"/>
  <c r="BB65"/>
  <c r="BA65"/>
  <c r="AZ65"/>
  <c r="AY65"/>
  <c r="AX65"/>
  <c r="AW65"/>
  <c r="AS65"/>
  <c r="AT65" s="1"/>
  <c r="AR65"/>
  <c r="E65"/>
  <c r="BQ55"/>
  <c r="BP55"/>
  <c r="BO55"/>
  <c r="BN55"/>
  <c r="BM55"/>
  <c r="BL55"/>
  <c r="BK55"/>
  <c r="BJ55"/>
  <c r="BI55"/>
  <c r="BH55"/>
  <c r="BG55"/>
  <c r="BF55"/>
  <c r="BE55"/>
  <c r="BD55"/>
  <c r="BC55"/>
  <c r="BB55"/>
  <c r="BA55"/>
  <c r="AZ55"/>
  <c r="AY55"/>
  <c r="AX55"/>
  <c r="AW55"/>
  <c r="AS55"/>
  <c r="AT55" s="1"/>
  <c r="AR55"/>
  <c r="E55"/>
  <c r="BQ42"/>
  <c r="BP42"/>
  <c r="BO42"/>
  <c r="BN42"/>
  <c r="BM42"/>
  <c r="BL42"/>
  <c r="BK42"/>
  <c r="BJ42"/>
  <c r="BI42"/>
  <c r="BH42"/>
  <c r="BG42"/>
  <c r="BF42"/>
  <c r="BE42"/>
  <c r="BD42"/>
  <c r="BC42"/>
  <c r="BB42"/>
  <c r="BA42"/>
  <c r="AZ42"/>
  <c r="AY42"/>
  <c r="AX42"/>
  <c r="AW42"/>
  <c r="AS42"/>
  <c r="AT42" s="1"/>
  <c r="AR42"/>
  <c r="E42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S24"/>
  <c r="AT24" s="1"/>
  <c r="AR24"/>
  <c r="E24"/>
  <c r="BQ45"/>
  <c r="BP45"/>
  <c r="BO45"/>
  <c r="BN45"/>
  <c r="BM45"/>
  <c r="BL45"/>
  <c r="BK45"/>
  <c r="BJ45"/>
  <c r="BI45"/>
  <c r="BH45"/>
  <c r="BG45"/>
  <c r="BF45"/>
  <c r="BE45"/>
  <c r="BD45"/>
  <c r="BC45"/>
  <c r="BB45"/>
  <c r="BA45"/>
  <c r="AZ45"/>
  <c r="AY45"/>
  <c r="AX45"/>
  <c r="AW45"/>
  <c r="AS45"/>
  <c r="AT45" s="1"/>
  <c r="AR45"/>
  <c r="E45"/>
  <c r="BQ52"/>
  <c r="BP52"/>
  <c r="BO52"/>
  <c r="BN52"/>
  <c r="BM52"/>
  <c r="BL52"/>
  <c r="BK52"/>
  <c r="BJ52"/>
  <c r="BI52"/>
  <c r="BH52"/>
  <c r="BG52"/>
  <c r="BF52"/>
  <c r="BE52"/>
  <c r="BD52"/>
  <c r="BC52"/>
  <c r="BB52"/>
  <c r="BA52"/>
  <c r="AZ52"/>
  <c r="AY52"/>
  <c r="AX52"/>
  <c r="AW52"/>
  <c r="AS52"/>
  <c r="AT52" s="1"/>
  <c r="AR52"/>
  <c r="E52"/>
  <c r="BQ44"/>
  <c r="BP44"/>
  <c r="BO44"/>
  <c r="BN44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S44"/>
  <c r="AT44" s="1"/>
  <c r="AR44"/>
  <c r="E44"/>
  <c r="BQ63"/>
  <c r="BP63"/>
  <c r="BO63"/>
  <c r="BN63"/>
  <c r="BM63"/>
  <c r="BL63"/>
  <c r="BK63"/>
  <c r="BJ63"/>
  <c r="BI63"/>
  <c r="BH63"/>
  <c r="BG63"/>
  <c r="BF63"/>
  <c r="BE63"/>
  <c r="BD63"/>
  <c r="BC63"/>
  <c r="BB63"/>
  <c r="BA63"/>
  <c r="AZ63"/>
  <c r="AY63"/>
  <c r="AX63"/>
  <c r="AW63"/>
  <c r="AS63"/>
  <c r="AT63" s="1"/>
  <c r="AR63"/>
  <c r="E63"/>
  <c r="BQ43"/>
  <c r="BP43"/>
  <c r="BO43"/>
  <c r="BN43"/>
  <c r="BM43"/>
  <c r="BL43"/>
  <c r="BK43"/>
  <c r="BJ43"/>
  <c r="BI43"/>
  <c r="BH43"/>
  <c r="BG43"/>
  <c r="BF43"/>
  <c r="BE43"/>
  <c r="BD43"/>
  <c r="BC43"/>
  <c r="BB43"/>
  <c r="BA43"/>
  <c r="AZ43"/>
  <c r="AY43"/>
  <c r="AX43"/>
  <c r="AW43"/>
  <c r="AS43"/>
  <c r="AT43" s="1"/>
  <c r="AR43"/>
  <c r="E43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S40"/>
  <c r="AT40" s="1"/>
  <c r="AR40"/>
  <c r="E40"/>
  <c r="BQ30"/>
  <c r="BP30"/>
  <c r="BO30"/>
  <c r="BN30"/>
  <c r="BM30"/>
  <c r="BL30"/>
  <c r="BK30"/>
  <c r="BJ30"/>
  <c r="BI30"/>
  <c r="BH30"/>
  <c r="BG30"/>
  <c r="BF30"/>
  <c r="BE30"/>
  <c r="BD30"/>
  <c r="BC30"/>
  <c r="BB30"/>
  <c r="BA30"/>
  <c r="AZ30"/>
  <c r="AY30"/>
  <c r="AX30"/>
  <c r="AW30"/>
  <c r="AS30"/>
  <c r="AT30" s="1"/>
  <c r="AR30"/>
  <c r="E30"/>
  <c r="BQ61"/>
  <c r="BP61"/>
  <c r="BO61"/>
  <c r="BN61"/>
  <c r="BM61"/>
  <c r="BL61"/>
  <c r="BK61"/>
  <c r="BJ61"/>
  <c r="BI61"/>
  <c r="BH61"/>
  <c r="BG61"/>
  <c r="BF61"/>
  <c r="BE61"/>
  <c r="BD61"/>
  <c r="BC61"/>
  <c r="BB61"/>
  <c r="BA61"/>
  <c r="AZ61"/>
  <c r="AY61"/>
  <c r="AX61"/>
  <c r="AW61"/>
  <c r="AS61"/>
  <c r="AT61" s="1"/>
  <c r="AR61"/>
  <c r="E61"/>
  <c r="BQ23"/>
  <c r="BP23"/>
  <c r="BO23"/>
  <c r="BN23"/>
  <c r="BM23"/>
  <c r="BL23"/>
  <c r="BK23"/>
  <c r="BJ23"/>
  <c r="BI23"/>
  <c r="BH23"/>
  <c r="BG23"/>
  <c r="BF23"/>
  <c r="BE23"/>
  <c r="BD23"/>
  <c r="BC23"/>
  <c r="BB23"/>
  <c r="BA23"/>
  <c r="AZ23"/>
  <c r="AY23"/>
  <c r="AX23"/>
  <c r="AW23"/>
  <c r="AS23"/>
  <c r="AT23" s="1"/>
  <c r="AR23"/>
  <c r="E23"/>
  <c r="BQ46"/>
  <c r="BP46"/>
  <c r="BO46"/>
  <c r="BN46"/>
  <c r="BM46"/>
  <c r="BL46"/>
  <c r="BK46"/>
  <c r="BJ46"/>
  <c r="BI46"/>
  <c r="BH46"/>
  <c r="BG46"/>
  <c r="BF46"/>
  <c r="BE46"/>
  <c r="BD46"/>
  <c r="BC46"/>
  <c r="BB46"/>
  <c r="BA46"/>
  <c r="AZ46"/>
  <c r="AY46"/>
  <c r="AX46"/>
  <c r="AW46"/>
  <c r="AS46"/>
  <c r="AT46" s="1"/>
  <c r="AR46"/>
  <c r="E46"/>
  <c r="BQ12"/>
  <c r="BP12"/>
  <c r="BO12"/>
  <c r="BN12"/>
  <c r="BM12"/>
  <c r="BL12"/>
  <c r="BK12"/>
  <c r="BJ12"/>
  <c r="BI12"/>
  <c r="BH12"/>
  <c r="BG12"/>
  <c r="BF12"/>
  <c r="BE12"/>
  <c r="BD12"/>
  <c r="BC12"/>
  <c r="BB12"/>
  <c r="BA12"/>
  <c r="AZ12"/>
  <c r="AY12"/>
  <c r="AX12"/>
  <c r="AW12"/>
  <c r="AS12"/>
  <c r="AT12" s="1"/>
  <c r="AR12"/>
  <c r="E12"/>
  <c r="BQ28"/>
  <c r="BP28"/>
  <c r="BO28"/>
  <c r="BN28"/>
  <c r="BM28"/>
  <c r="BL28"/>
  <c r="BK28"/>
  <c r="BJ28"/>
  <c r="BI28"/>
  <c r="BH28"/>
  <c r="BG28"/>
  <c r="BF28"/>
  <c r="BE28"/>
  <c r="BD28"/>
  <c r="BC28"/>
  <c r="BB28"/>
  <c r="BA28"/>
  <c r="AZ28"/>
  <c r="AY28"/>
  <c r="AX28"/>
  <c r="AW28"/>
  <c r="AS28"/>
  <c r="AT28" s="1"/>
  <c r="AR28"/>
  <c r="E28"/>
  <c r="BQ47"/>
  <c r="BP47"/>
  <c r="BO47"/>
  <c r="BN47"/>
  <c r="BM47"/>
  <c r="BL47"/>
  <c r="BK47"/>
  <c r="BJ47"/>
  <c r="BI47"/>
  <c r="BH47"/>
  <c r="BG47"/>
  <c r="BF47"/>
  <c r="BE47"/>
  <c r="BD47"/>
  <c r="BC47"/>
  <c r="BB47"/>
  <c r="BA47"/>
  <c r="AZ47"/>
  <c r="AY47"/>
  <c r="AX47"/>
  <c r="AW47"/>
  <c r="AS47"/>
  <c r="AT47" s="1"/>
  <c r="AR47"/>
  <c r="E47"/>
  <c r="BQ56"/>
  <c r="BP56"/>
  <c r="BO56"/>
  <c r="BN56"/>
  <c r="BM56"/>
  <c r="BL56"/>
  <c r="BK56"/>
  <c r="BJ56"/>
  <c r="BI56"/>
  <c r="BH56"/>
  <c r="BG56"/>
  <c r="BF56"/>
  <c r="BE56"/>
  <c r="BD56"/>
  <c r="BC56"/>
  <c r="BB56"/>
  <c r="BA56"/>
  <c r="AZ56"/>
  <c r="AY56"/>
  <c r="AX56"/>
  <c r="AW56"/>
  <c r="AS56"/>
  <c r="AT56" s="1"/>
  <c r="AR56"/>
  <c r="E56"/>
  <c r="BQ35"/>
  <c r="BP35"/>
  <c r="BO35"/>
  <c r="BN35"/>
  <c r="BM35"/>
  <c r="BL35"/>
  <c r="BK35"/>
  <c r="BJ35"/>
  <c r="BI35"/>
  <c r="BH35"/>
  <c r="BG35"/>
  <c r="BF35"/>
  <c r="BE35"/>
  <c r="BD35"/>
  <c r="BC35"/>
  <c r="BB35"/>
  <c r="BA35"/>
  <c r="AZ35"/>
  <c r="AY35"/>
  <c r="AX35"/>
  <c r="AW35"/>
  <c r="AS35"/>
  <c r="AT35" s="1"/>
  <c r="AR35"/>
  <c r="E35"/>
  <c r="BQ31"/>
  <c r="BP31"/>
  <c r="BO31"/>
  <c r="BN31"/>
  <c r="BM31"/>
  <c r="BL31"/>
  <c r="BK31"/>
  <c r="BJ31"/>
  <c r="BI31"/>
  <c r="BH31"/>
  <c r="BG31"/>
  <c r="BF31"/>
  <c r="BE31"/>
  <c r="BD31"/>
  <c r="BC31"/>
  <c r="BB31"/>
  <c r="BA31"/>
  <c r="AZ31"/>
  <c r="AY31"/>
  <c r="AX31"/>
  <c r="AW31"/>
  <c r="AS31"/>
  <c r="AT31" s="1"/>
  <c r="AR31"/>
  <c r="E31"/>
  <c r="BQ37"/>
  <c r="BP37"/>
  <c r="BO37"/>
  <c r="BN37"/>
  <c r="BM37"/>
  <c r="BL37"/>
  <c r="BK37"/>
  <c r="BJ37"/>
  <c r="BI37"/>
  <c r="BH37"/>
  <c r="BG37"/>
  <c r="BF37"/>
  <c r="BE37"/>
  <c r="BD37"/>
  <c r="BC37"/>
  <c r="BB37"/>
  <c r="BA37"/>
  <c r="AZ37"/>
  <c r="AY37"/>
  <c r="AX37"/>
  <c r="AW37"/>
  <c r="AS37"/>
  <c r="AT37" s="1"/>
  <c r="AR37"/>
  <c r="E37"/>
  <c r="BQ21"/>
  <c r="BP21"/>
  <c r="BO21"/>
  <c r="BN21"/>
  <c r="BM21"/>
  <c r="BL21"/>
  <c r="BK21"/>
  <c r="BJ21"/>
  <c r="BI21"/>
  <c r="BH21"/>
  <c r="BG21"/>
  <c r="BF21"/>
  <c r="BE21"/>
  <c r="BD21"/>
  <c r="BC21"/>
  <c r="BB21"/>
  <c r="BA21"/>
  <c r="AZ21"/>
  <c r="AY21"/>
  <c r="AX21"/>
  <c r="AW21"/>
  <c r="AS21"/>
  <c r="AT21" s="1"/>
  <c r="AR21"/>
  <c r="E21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S25"/>
  <c r="AT25" s="1"/>
  <c r="AR25"/>
  <c r="E25"/>
  <c r="D8"/>
  <c r="B7"/>
  <c r="B5"/>
  <c r="B4"/>
  <c r="B3"/>
  <c r="B2"/>
  <c r="J57" i="7"/>
  <c r="J90" s="1"/>
  <c r="I57"/>
  <c r="I90" s="1"/>
  <c r="D8" i="5"/>
  <c r="D8" i="6"/>
  <c r="C2" i="5"/>
  <c r="B7" i="6"/>
  <c r="C7" i="5" s="1"/>
  <c r="I70" i="9"/>
  <c r="I69"/>
  <c r="I67"/>
  <c r="I66"/>
  <c r="I65"/>
  <c r="I61"/>
  <c r="I58"/>
  <c r="I57"/>
  <c r="I56"/>
  <c r="I55"/>
  <c r="I54"/>
  <c r="I53"/>
  <c r="E6" i="6"/>
  <c r="E5"/>
  <c r="E4"/>
  <c r="E3"/>
  <c r="C21" i="9"/>
  <c r="C13"/>
  <c r="C2"/>
  <c r="Z54"/>
  <c r="AA54"/>
  <c r="AB54"/>
  <c r="Z55"/>
  <c r="AA55"/>
  <c r="AB55"/>
  <c r="Z56"/>
  <c r="AA56"/>
  <c r="AB56"/>
  <c r="Z57"/>
  <c r="AA57"/>
  <c r="AB57"/>
  <c r="Z58"/>
  <c r="AA58"/>
  <c r="AB58"/>
  <c r="Z61"/>
  <c r="AA61"/>
  <c r="AB61"/>
  <c r="Z65"/>
  <c r="AA65"/>
  <c r="AB65"/>
  <c r="Z66"/>
  <c r="AA66"/>
  <c r="AB66"/>
  <c r="Z67"/>
  <c r="AA67"/>
  <c r="AB67"/>
  <c r="Z69"/>
  <c r="AA69"/>
  <c r="AB69"/>
  <c r="Z70"/>
  <c r="AA70"/>
  <c r="AB70"/>
  <c r="AB53"/>
  <c r="AA53"/>
  <c r="Z53"/>
  <c r="BN37" i="5"/>
  <c r="BL37"/>
  <c r="BM37"/>
  <c r="BC37"/>
  <c r="BD37"/>
  <c r="BE37"/>
  <c r="K14" i="9"/>
  <c r="K11"/>
  <c r="L11"/>
  <c r="H11" s="1"/>
  <c r="C49"/>
  <c r="C48"/>
  <c r="N69"/>
  <c r="M69"/>
  <c r="L69"/>
  <c r="K69"/>
  <c r="D69"/>
  <c r="K66"/>
  <c r="L66"/>
  <c r="M66"/>
  <c r="N66"/>
  <c r="K67"/>
  <c r="L67"/>
  <c r="M67"/>
  <c r="N67"/>
  <c r="K70"/>
  <c r="L70"/>
  <c r="M70"/>
  <c r="N70"/>
  <c r="N65"/>
  <c r="M65"/>
  <c r="L65"/>
  <c r="K65"/>
  <c r="N61"/>
  <c r="M61"/>
  <c r="L61"/>
  <c r="K61"/>
  <c r="K54"/>
  <c r="L54"/>
  <c r="M54"/>
  <c r="N54"/>
  <c r="K55"/>
  <c r="L55"/>
  <c r="M55"/>
  <c r="N55"/>
  <c r="K56"/>
  <c r="N56"/>
  <c r="K57"/>
  <c r="L57"/>
  <c r="M57"/>
  <c r="N57"/>
  <c r="N58"/>
  <c r="N53"/>
  <c r="M53"/>
  <c r="L53"/>
  <c r="K53"/>
  <c r="O51"/>
  <c r="O68" s="1"/>
  <c r="BG37" i="5"/>
  <c r="AX37"/>
  <c r="BK37"/>
  <c r="BJ37"/>
  <c r="BI37"/>
  <c r="BH37"/>
  <c r="BF37"/>
  <c r="BB37"/>
  <c r="BA37"/>
  <c r="AZ37"/>
  <c r="AY37"/>
  <c r="AW37"/>
  <c r="AY24" i="9"/>
  <c r="AX24"/>
  <c r="AW24"/>
  <c r="AV24"/>
  <c r="AU24"/>
  <c r="AY23"/>
  <c r="AX23"/>
  <c r="AW23"/>
  <c r="AV23"/>
  <c r="AU23"/>
  <c r="AY22"/>
  <c r="AX22"/>
  <c r="AW22"/>
  <c r="AV22"/>
  <c r="AU22"/>
  <c r="AY19"/>
  <c r="AX19"/>
  <c r="AW19"/>
  <c r="AV19"/>
  <c r="AU19"/>
  <c r="AY18"/>
  <c r="AX18"/>
  <c r="AW18"/>
  <c r="AV18"/>
  <c r="AU18"/>
  <c r="AY17"/>
  <c r="AX17"/>
  <c r="AW17"/>
  <c r="AV17"/>
  <c r="AU17"/>
  <c r="AY16"/>
  <c r="AX16"/>
  <c r="AW16"/>
  <c r="AV16"/>
  <c r="AU16"/>
  <c r="AY15"/>
  <c r="AX15"/>
  <c r="AW15"/>
  <c r="AV15"/>
  <c r="AU15"/>
  <c r="AY14"/>
  <c r="AX14"/>
  <c r="AW14"/>
  <c r="AV14"/>
  <c r="AU14"/>
  <c r="AY11"/>
  <c r="AX11"/>
  <c r="AW11"/>
  <c r="AV11"/>
  <c r="AU11"/>
  <c r="AY10"/>
  <c r="AX10"/>
  <c r="AW10"/>
  <c r="AV10"/>
  <c r="AU10"/>
  <c r="AY9"/>
  <c r="AX9"/>
  <c r="AW9"/>
  <c r="AV9"/>
  <c r="AU9"/>
  <c r="AY8"/>
  <c r="AX8"/>
  <c r="AW8"/>
  <c r="AV8"/>
  <c r="AU8"/>
  <c r="AY7"/>
  <c r="AX7"/>
  <c r="AW7"/>
  <c r="AV7"/>
  <c r="AU7"/>
  <c r="AY6"/>
  <c r="AX6"/>
  <c r="AW6"/>
  <c r="AV6"/>
  <c r="AU6"/>
  <c r="AY5"/>
  <c r="AX5"/>
  <c r="AW5"/>
  <c r="AV5"/>
  <c r="AU5"/>
  <c r="AY4"/>
  <c r="AX4"/>
  <c r="AW4"/>
  <c r="AV4"/>
  <c r="AU4"/>
  <c r="AY3"/>
  <c r="AX3"/>
  <c r="AW3"/>
  <c r="AV3"/>
  <c r="AU3"/>
  <c r="AJ10"/>
  <c r="AI10"/>
  <c r="AH10"/>
  <c r="AG10"/>
  <c r="AF10"/>
  <c r="AE10"/>
  <c r="AD10"/>
  <c r="T10"/>
  <c r="S10"/>
  <c r="I10" s="1"/>
  <c r="R10"/>
  <c r="Q10"/>
  <c r="P10"/>
  <c r="O10"/>
  <c r="N10"/>
  <c r="M10"/>
  <c r="L10"/>
  <c r="H10" s="1"/>
  <c r="K10"/>
  <c r="J10"/>
  <c r="D10"/>
  <c r="D18"/>
  <c r="I18"/>
  <c r="J18"/>
  <c r="K18"/>
  <c r="L18"/>
  <c r="M18"/>
  <c r="N18"/>
  <c r="O18"/>
  <c r="P18"/>
  <c r="Q18"/>
  <c r="G18" s="1"/>
  <c r="R18"/>
  <c r="S18"/>
  <c r="T18"/>
  <c r="AD18"/>
  <c r="AE18"/>
  <c r="AF18"/>
  <c r="AG18"/>
  <c r="AH18"/>
  <c r="AI18"/>
  <c r="AJ18"/>
  <c r="AJ23"/>
  <c r="AI23"/>
  <c r="AH23"/>
  <c r="AG23"/>
  <c r="AF23"/>
  <c r="AE23"/>
  <c r="AD23"/>
  <c r="T23"/>
  <c r="S23"/>
  <c r="R23"/>
  <c r="Q23"/>
  <c r="P23"/>
  <c r="O23"/>
  <c r="N23"/>
  <c r="M23"/>
  <c r="L23"/>
  <c r="K23"/>
  <c r="J23"/>
  <c r="F23" s="1"/>
  <c r="I23"/>
  <c r="H23"/>
  <c r="G23"/>
  <c r="D23"/>
  <c r="AD24"/>
  <c r="AE24"/>
  <c r="AF24"/>
  <c r="AG24"/>
  <c r="AH24"/>
  <c r="AI24"/>
  <c r="AJ24"/>
  <c r="AJ22"/>
  <c r="AI22"/>
  <c r="AH22"/>
  <c r="AG22"/>
  <c r="AF22"/>
  <c r="AE22"/>
  <c r="AD22"/>
  <c r="AD15"/>
  <c r="AE15"/>
  <c r="AF15"/>
  <c r="AG15"/>
  <c r="AH15"/>
  <c r="AI15"/>
  <c r="AJ15"/>
  <c r="AD16"/>
  <c r="J39" s="1"/>
  <c r="AE16"/>
  <c r="K39" s="1"/>
  <c r="AF16"/>
  <c r="L39" s="1"/>
  <c r="AG16"/>
  <c r="M39" s="1"/>
  <c r="AH16"/>
  <c r="N39" s="1"/>
  <c r="AI16"/>
  <c r="O39" s="1"/>
  <c r="AJ16"/>
  <c r="P39" s="1"/>
  <c r="AD17"/>
  <c r="AE17"/>
  <c r="AF17"/>
  <c r="AG17"/>
  <c r="AH17"/>
  <c r="AI17"/>
  <c r="AJ17"/>
  <c r="AD19"/>
  <c r="AE19"/>
  <c r="AF19"/>
  <c r="AG19"/>
  <c r="AH19"/>
  <c r="AI19"/>
  <c r="AJ19"/>
  <c r="AJ14"/>
  <c r="AI14"/>
  <c r="AH14"/>
  <c r="AG14"/>
  <c r="AF14"/>
  <c r="AE14"/>
  <c r="AD14"/>
  <c r="AD4"/>
  <c r="AE4"/>
  <c r="AF4"/>
  <c r="AG4"/>
  <c r="AH4"/>
  <c r="AI4"/>
  <c r="AJ4"/>
  <c r="AD5"/>
  <c r="AE5"/>
  <c r="AG5"/>
  <c r="AH5"/>
  <c r="AI5"/>
  <c r="AJ5"/>
  <c r="AD6"/>
  <c r="AE6"/>
  <c r="AF6"/>
  <c r="AG6"/>
  <c r="AH6"/>
  <c r="AI6"/>
  <c r="AJ6"/>
  <c r="AD7"/>
  <c r="AE7"/>
  <c r="AF7"/>
  <c r="AG7"/>
  <c r="AH7"/>
  <c r="AI7"/>
  <c r="AJ7"/>
  <c r="AD8"/>
  <c r="AE8"/>
  <c r="AF8"/>
  <c r="AG8"/>
  <c r="AH8"/>
  <c r="AI8"/>
  <c r="AJ8"/>
  <c r="AD9"/>
  <c r="AE9"/>
  <c r="AF9"/>
  <c r="AG9"/>
  <c r="AH9"/>
  <c r="AI9"/>
  <c r="AJ9"/>
  <c r="AD11"/>
  <c r="AE11"/>
  <c r="AF11"/>
  <c r="AG11"/>
  <c r="AH11"/>
  <c r="AI11"/>
  <c r="AJ11"/>
  <c r="AD3"/>
  <c r="J41" s="1"/>
  <c r="AE3"/>
  <c r="AF3"/>
  <c r="L41" s="1"/>
  <c r="AG3"/>
  <c r="AH3"/>
  <c r="N41" s="1"/>
  <c r="AI3"/>
  <c r="AJ3"/>
  <c r="P41" s="1"/>
  <c r="G22"/>
  <c r="H22"/>
  <c r="G24"/>
  <c r="H24"/>
  <c r="J24"/>
  <c r="F24" s="1"/>
  <c r="K24"/>
  <c r="L24"/>
  <c r="J22"/>
  <c r="K22"/>
  <c r="L22"/>
  <c r="J17"/>
  <c r="K17"/>
  <c r="L17"/>
  <c r="J19"/>
  <c r="K19"/>
  <c r="L19"/>
  <c r="J14"/>
  <c r="L14"/>
  <c r="J15"/>
  <c r="K15"/>
  <c r="R45" s="1"/>
  <c r="X40" s="1"/>
  <c r="L15"/>
  <c r="J16"/>
  <c r="K16"/>
  <c r="R39" s="1"/>
  <c r="X42" s="1"/>
  <c r="L16"/>
  <c r="J3"/>
  <c r="K3"/>
  <c r="L3"/>
  <c r="H3" s="1"/>
  <c r="K4"/>
  <c r="L4"/>
  <c r="J5"/>
  <c r="K5"/>
  <c r="L5"/>
  <c r="J6"/>
  <c r="K6"/>
  <c r="L6"/>
  <c r="J7"/>
  <c r="K7"/>
  <c r="L7"/>
  <c r="H7" s="1"/>
  <c r="J8"/>
  <c r="K8"/>
  <c r="L8"/>
  <c r="H8" s="1"/>
  <c r="J9"/>
  <c r="K9"/>
  <c r="L9"/>
  <c r="H9" s="1"/>
  <c r="J11"/>
  <c r="T8"/>
  <c r="S8"/>
  <c r="I8" s="1"/>
  <c r="R8"/>
  <c r="Q8"/>
  <c r="P8"/>
  <c r="O8"/>
  <c r="N8"/>
  <c r="M8"/>
  <c r="D8"/>
  <c r="T9"/>
  <c r="S9"/>
  <c r="I9" s="1"/>
  <c r="R9"/>
  <c r="Q9"/>
  <c r="P9"/>
  <c r="O9"/>
  <c r="N9"/>
  <c r="M9"/>
  <c r="D9"/>
  <c r="D70"/>
  <c r="D67"/>
  <c r="D66"/>
  <c r="D65"/>
  <c r="D62"/>
  <c r="D61"/>
  <c r="E35" i="25" s="1"/>
  <c r="D54" i="9"/>
  <c r="D55"/>
  <c r="D56"/>
  <c r="D57"/>
  <c r="D58"/>
  <c r="D53"/>
  <c r="E30" i="25" s="1"/>
  <c r="T24" i="9"/>
  <c r="S24"/>
  <c r="R24"/>
  <c r="Q24"/>
  <c r="P24"/>
  <c r="O24"/>
  <c r="N24"/>
  <c r="M24"/>
  <c r="I24"/>
  <c r="D24"/>
  <c r="T22"/>
  <c r="S22"/>
  <c r="R22"/>
  <c r="Q22"/>
  <c r="P22"/>
  <c r="O22"/>
  <c r="N22"/>
  <c r="M22"/>
  <c r="I22"/>
  <c r="D22"/>
  <c r="D4"/>
  <c r="M4"/>
  <c r="N4"/>
  <c r="O4"/>
  <c r="P4"/>
  <c r="Q4"/>
  <c r="R4"/>
  <c r="S4"/>
  <c r="I4" s="1"/>
  <c r="T4"/>
  <c r="D5"/>
  <c r="M5"/>
  <c r="N5"/>
  <c r="O5"/>
  <c r="P5"/>
  <c r="Q5"/>
  <c r="R5"/>
  <c r="S5"/>
  <c r="T5"/>
  <c r="D6"/>
  <c r="M6"/>
  <c r="N6"/>
  <c r="O6"/>
  <c r="P6"/>
  <c r="Q6"/>
  <c r="R6"/>
  <c r="S6"/>
  <c r="I6" s="1"/>
  <c r="T6"/>
  <c r="D7"/>
  <c r="M7"/>
  <c r="N7"/>
  <c r="O7"/>
  <c r="P7"/>
  <c r="Q7"/>
  <c r="R7"/>
  <c r="S7"/>
  <c r="I7" s="1"/>
  <c r="T7"/>
  <c r="D11"/>
  <c r="M11"/>
  <c r="N11"/>
  <c r="O11"/>
  <c r="P11"/>
  <c r="Q11"/>
  <c r="R11"/>
  <c r="S11"/>
  <c r="I11" s="1"/>
  <c r="T11"/>
  <c r="T3"/>
  <c r="S3"/>
  <c r="I3" s="1"/>
  <c r="R3"/>
  <c r="Q3"/>
  <c r="P3"/>
  <c r="O3"/>
  <c r="N3"/>
  <c r="M3"/>
  <c r="D3"/>
  <c r="I15"/>
  <c r="I16"/>
  <c r="I17"/>
  <c r="I19"/>
  <c r="I14"/>
  <c r="N14"/>
  <c r="O14"/>
  <c r="P14"/>
  <c r="Q14"/>
  <c r="G14" s="1"/>
  <c r="R14"/>
  <c r="S14"/>
  <c r="T14"/>
  <c r="N15"/>
  <c r="O15"/>
  <c r="P15"/>
  <c r="Q45" s="1"/>
  <c r="W40" s="1"/>
  <c r="Q15"/>
  <c r="G15" s="1"/>
  <c r="R15"/>
  <c r="S15"/>
  <c r="T15"/>
  <c r="N16"/>
  <c r="O16"/>
  <c r="P16"/>
  <c r="Q16"/>
  <c r="R16"/>
  <c r="S16"/>
  <c r="T16"/>
  <c r="N17"/>
  <c r="O17"/>
  <c r="P17"/>
  <c r="Q17"/>
  <c r="G17" s="1"/>
  <c r="R17"/>
  <c r="S17"/>
  <c r="T17"/>
  <c r="N19"/>
  <c r="O19"/>
  <c r="P19"/>
  <c r="Q19"/>
  <c r="G19" s="1"/>
  <c r="R19"/>
  <c r="S19"/>
  <c r="T19"/>
  <c r="M19"/>
  <c r="M17"/>
  <c r="M16"/>
  <c r="M15"/>
  <c r="M14"/>
  <c r="D15"/>
  <c r="D16"/>
  <c r="D17"/>
  <c r="D19"/>
  <c r="D14"/>
  <c r="L56" i="7"/>
  <c r="K56"/>
  <c r="J56"/>
  <c r="I56"/>
  <c r="H56"/>
  <c r="G56"/>
  <c r="F56"/>
  <c r="E56"/>
  <c r="D56"/>
  <c r="C56"/>
  <c r="B56"/>
  <c r="H58"/>
  <c r="H64" s="1"/>
  <c r="BQ37" i="5"/>
  <c r="AS37"/>
  <c r="AT37" s="1"/>
  <c r="AR37"/>
  <c r="BO37"/>
  <c r="BP37"/>
  <c r="A14" l="1"/>
  <c r="BR14" s="1"/>
  <c r="A13"/>
  <c r="BR13" s="1"/>
  <c r="A15"/>
  <c r="BR15" s="1"/>
  <c r="R43" i="9"/>
  <c r="X41" s="1"/>
  <c r="Q43"/>
  <c r="W41" s="1"/>
  <c r="K40"/>
  <c r="K38"/>
  <c r="L40"/>
  <c r="J40"/>
  <c r="O38"/>
  <c r="M38"/>
  <c r="J38"/>
  <c r="P38"/>
  <c r="N38"/>
  <c r="K46"/>
  <c r="M46"/>
  <c r="O46"/>
  <c r="A26" i="5"/>
  <c r="BR26" s="1"/>
  <c r="P43" i="9"/>
  <c r="N43"/>
  <c r="L43"/>
  <c r="J43"/>
  <c r="J42"/>
  <c r="L42"/>
  <c r="N42"/>
  <c r="P42"/>
  <c r="Q42"/>
  <c r="W43" s="1"/>
  <c r="O43"/>
  <c r="M43"/>
  <c r="K43"/>
  <c r="K42"/>
  <c r="M42"/>
  <c r="O42"/>
  <c r="A30" i="5"/>
  <c r="BR30" s="1"/>
  <c r="E44" i="9"/>
  <c r="A11" i="5"/>
  <c r="BR11" s="1"/>
  <c r="A29"/>
  <c r="BR29" s="1"/>
  <c r="A28"/>
  <c r="BR28" s="1"/>
  <c r="A42"/>
  <c r="BR42" s="1"/>
  <c r="A45"/>
  <c r="BR45" s="1"/>
  <c r="A33"/>
  <c r="BR33" s="1"/>
  <c r="E45" i="9"/>
  <c r="A21" i="5"/>
  <c r="BR21" s="1"/>
  <c r="A18"/>
  <c r="BR18" s="1"/>
  <c r="A39"/>
  <c r="BR39" s="1"/>
  <c r="A36"/>
  <c r="BR36" s="1"/>
  <c r="A48"/>
  <c r="BR48" s="1"/>
  <c r="A27"/>
  <c r="BR27" s="1"/>
  <c r="A38"/>
  <c r="BR38" s="1"/>
  <c r="A50"/>
  <c r="BR50" s="1"/>
  <c r="A24"/>
  <c r="BR24" s="1"/>
  <c r="A63"/>
  <c r="BR63" s="1"/>
  <c r="A64"/>
  <c r="BR64" s="1"/>
  <c r="A35"/>
  <c r="BR35" s="1"/>
  <c r="A46"/>
  <c r="BR46" s="1"/>
  <c r="A56"/>
  <c r="BR56" s="1"/>
  <c r="A59"/>
  <c r="BR59" s="1"/>
  <c r="A65"/>
  <c r="BR65" s="1"/>
  <c r="A57"/>
  <c r="BR57" s="1"/>
  <c r="A68"/>
  <c r="BR68" s="1"/>
  <c r="A51"/>
  <c r="BR51" s="1"/>
  <c r="A67"/>
  <c r="BR67" s="1"/>
  <c r="A71"/>
  <c r="BR71" s="1"/>
  <c r="A72"/>
  <c r="BR72" s="1"/>
  <c r="A73"/>
  <c r="BR73" s="1"/>
  <c r="A34"/>
  <c r="BR34" s="1"/>
  <c r="A32"/>
  <c r="BR32" s="1"/>
  <c r="A44"/>
  <c r="BR44" s="1"/>
  <c r="A53"/>
  <c r="BR53" s="1"/>
  <c r="A22"/>
  <c r="BR22" s="1"/>
  <c r="A49"/>
  <c r="BR49" s="1"/>
  <c r="A52"/>
  <c r="BR52" s="1"/>
  <c r="A43"/>
  <c r="BR43" s="1"/>
  <c r="A41"/>
  <c r="BR41" s="1"/>
  <c r="A61"/>
  <c r="BR61" s="1"/>
  <c r="A25"/>
  <c r="BR25" s="1"/>
  <c r="A54"/>
  <c r="BR54" s="1"/>
  <c r="A60"/>
  <c r="BR60" s="1"/>
  <c r="A31"/>
  <c r="BR31" s="1"/>
  <c r="A62"/>
  <c r="BR62" s="1"/>
  <c r="A20"/>
  <c r="BR20" s="1"/>
  <c r="A58"/>
  <c r="BR58" s="1"/>
  <c r="A70"/>
  <c r="BR70" s="1"/>
  <c r="A55"/>
  <c r="BR55" s="1"/>
  <c r="A66"/>
  <c r="BR66" s="1"/>
  <c r="A69"/>
  <c r="BR69" s="1"/>
  <c r="A40"/>
  <c r="BR40" s="1"/>
  <c r="A74"/>
  <c r="BR74" s="1"/>
  <c r="A23"/>
  <c r="BR23" s="1"/>
  <c r="A12"/>
  <c r="BR12" s="1"/>
  <c r="A37"/>
  <c r="BR37" s="1"/>
  <c r="A47"/>
  <c r="BR47" s="1"/>
  <c r="A19"/>
  <c r="E41" i="25"/>
  <c r="J46" i="9"/>
  <c r="L46"/>
  <c r="N46"/>
  <c r="P46"/>
  <c r="Q40"/>
  <c r="O40"/>
  <c r="M40"/>
  <c r="P40"/>
  <c r="N40"/>
  <c r="E41"/>
  <c r="L38"/>
  <c r="E38"/>
  <c r="O41"/>
  <c r="M41"/>
  <c r="K41"/>
  <c r="D37" i="5"/>
  <c r="C37"/>
  <c r="R41" i="9"/>
  <c r="R44"/>
  <c r="Q41"/>
  <c r="Q44"/>
  <c r="Q46"/>
  <c r="W38" s="1"/>
  <c r="O45"/>
  <c r="M45"/>
  <c r="K45"/>
  <c r="R46"/>
  <c r="P45"/>
  <c r="N45"/>
  <c r="L45"/>
  <c r="J45"/>
  <c r="E37" i="25"/>
  <c r="O44" i="9"/>
  <c r="M44"/>
  <c r="K44"/>
  <c r="P44"/>
  <c r="N44"/>
  <c r="L44"/>
  <c r="J44"/>
  <c r="H55"/>
  <c r="E39"/>
  <c r="E46"/>
  <c r="E42"/>
  <c r="H6"/>
  <c r="R40"/>
  <c r="X39" s="1"/>
  <c r="G16"/>
  <c r="Q39"/>
  <c r="W42" s="1"/>
  <c r="I5"/>
  <c r="I2" s="1"/>
  <c r="Q38"/>
  <c r="W44" s="1"/>
  <c r="H5"/>
  <c r="R38"/>
  <c r="X44" s="1"/>
  <c r="F22"/>
  <c r="F21" s="1"/>
  <c r="R42"/>
  <c r="X43" s="1"/>
  <c r="E34" i="25"/>
  <c r="E32"/>
  <c r="E31"/>
  <c r="E8"/>
  <c r="E11"/>
  <c r="E9"/>
  <c r="P28" i="9"/>
  <c r="N28"/>
  <c r="L28"/>
  <c r="J28"/>
  <c r="O28"/>
  <c r="M28"/>
  <c r="K28"/>
  <c r="Q28"/>
  <c r="E39" i="25"/>
  <c r="L27" i="9"/>
  <c r="E33" i="25"/>
  <c r="E38"/>
  <c r="E40"/>
  <c r="E36"/>
  <c r="O29" i="9"/>
  <c r="M29"/>
  <c r="K29"/>
  <c r="U10"/>
  <c r="X24"/>
  <c r="AZ24"/>
  <c r="AO24"/>
  <c r="AB24"/>
  <c r="AK24"/>
  <c r="Y24"/>
  <c r="AN24"/>
  <c r="AP24"/>
  <c r="V24"/>
  <c r="AR24"/>
  <c r="AT24"/>
  <c r="U24"/>
  <c r="Z24"/>
  <c r="AL24"/>
  <c r="AQ24"/>
  <c r="AM24"/>
  <c r="AA24"/>
  <c r="AC24"/>
  <c r="AS24"/>
  <c r="K27"/>
  <c r="P27"/>
  <c r="N27"/>
  <c r="J27"/>
  <c r="P29"/>
  <c r="N29"/>
  <c r="L29"/>
  <c r="J29"/>
  <c r="O30"/>
  <c r="M30"/>
  <c r="K30"/>
  <c r="O27"/>
  <c r="M27"/>
  <c r="P30"/>
  <c r="N30"/>
  <c r="L30"/>
  <c r="J30"/>
  <c r="E6" i="25"/>
  <c r="E7"/>
  <c r="E5"/>
  <c r="E12"/>
  <c r="E10"/>
  <c r="E4"/>
  <c r="E35" i="9"/>
  <c r="E33"/>
  <c r="E27"/>
  <c r="E28"/>
  <c r="E31"/>
  <c r="L50" i="7"/>
  <c r="K48"/>
  <c r="L31" i="9"/>
  <c r="J31"/>
  <c r="K32"/>
  <c r="M32"/>
  <c r="O32"/>
  <c r="K31"/>
  <c r="J32"/>
  <c r="L32"/>
  <c r="N32"/>
  <c r="P32"/>
  <c r="P31"/>
  <c r="N31"/>
  <c r="O31"/>
  <c r="M31"/>
  <c r="L35"/>
  <c r="H18"/>
  <c r="J34"/>
  <c r="U18"/>
  <c r="L34"/>
  <c r="N34"/>
  <c r="P34"/>
  <c r="K34"/>
  <c r="M34"/>
  <c r="O34"/>
  <c r="O33"/>
  <c r="M33"/>
  <c r="K33"/>
  <c r="P33"/>
  <c r="N33"/>
  <c r="L33"/>
  <c r="J33"/>
  <c r="O35"/>
  <c r="M35"/>
  <c r="J35"/>
  <c r="P35"/>
  <c r="N35"/>
  <c r="K35"/>
  <c r="E34"/>
  <c r="E32"/>
  <c r="E30"/>
  <c r="O58"/>
  <c r="Q35"/>
  <c r="Q33"/>
  <c r="Q31"/>
  <c r="Q29"/>
  <c r="Q27"/>
  <c r="Q34"/>
  <c r="Q32"/>
  <c r="Q30"/>
  <c r="F70"/>
  <c r="O66"/>
  <c r="O62"/>
  <c r="O70"/>
  <c r="H70"/>
  <c r="G70"/>
  <c r="AM11"/>
  <c r="AZ19"/>
  <c r="AO19"/>
  <c r="H19"/>
  <c r="Y19"/>
  <c r="U19"/>
  <c r="AK19"/>
  <c r="AN19"/>
  <c r="AP19"/>
  <c r="AB19"/>
  <c r="AS19"/>
  <c r="Z19"/>
  <c r="X19"/>
  <c r="AL19"/>
  <c r="AQ19"/>
  <c r="V19"/>
  <c r="AM19"/>
  <c r="AA19"/>
  <c r="AC19"/>
  <c r="AR19"/>
  <c r="AT19"/>
  <c r="AB11"/>
  <c r="U11"/>
  <c r="U14"/>
  <c r="U23"/>
  <c r="U8"/>
  <c r="U6"/>
  <c r="U4"/>
  <c r="U16"/>
  <c r="U22"/>
  <c r="U3"/>
  <c r="U9"/>
  <c r="U7"/>
  <c r="U5"/>
  <c r="U17"/>
  <c r="U15"/>
  <c r="R28"/>
  <c r="H4"/>
  <c r="R34"/>
  <c r="D42" i="22"/>
  <c r="H57" i="7"/>
  <c r="H90" s="1"/>
  <c r="V3" i="9"/>
  <c r="V4"/>
  <c r="R32"/>
  <c r="R30"/>
  <c r="R35"/>
  <c r="R33"/>
  <c r="R31"/>
  <c r="R29"/>
  <c r="R27"/>
  <c r="Y11"/>
  <c r="AA11"/>
  <c r="AC11"/>
  <c r="AS11"/>
  <c r="AZ11"/>
  <c r="AR11"/>
  <c r="AT11"/>
  <c r="C25" i="22"/>
  <c r="D25"/>
  <c r="D63"/>
  <c r="D20"/>
  <c r="D45"/>
  <c r="D30"/>
  <c r="D55"/>
  <c r="D16"/>
  <c r="D53"/>
  <c r="D57"/>
  <c r="D37"/>
  <c r="D31"/>
  <c r="D52"/>
  <c r="D41"/>
  <c r="D39"/>
  <c r="D35"/>
  <c r="D21"/>
  <c r="D23"/>
  <c r="D40"/>
  <c r="D44"/>
  <c r="D24"/>
  <c r="D65"/>
  <c r="D27"/>
  <c r="D22"/>
  <c r="D61"/>
  <c r="D43"/>
  <c r="D64"/>
  <c r="D38"/>
  <c r="B8"/>
  <c r="E8" s="1"/>
  <c r="C21"/>
  <c r="C35"/>
  <c r="D56"/>
  <c r="D47"/>
  <c r="C47"/>
  <c r="D28"/>
  <c r="C28"/>
  <c r="D12"/>
  <c r="D46"/>
  <c r="C23"/>
  <c r="C61"/>
  <c r="C40"/>
  <c r="C43"/>
  <c r="C44"/>
  <c r="C24"/>
  <c r="C65"/>
  <c r="C27"/>
  <c r="C22"/>
  <c r="C64"/>
  <c r="C38"/>
  <c r="C37"/>
  <c r="C31"/>
  <c r="C30"/>
  <c r="C63"/>
  <c r="C52"/>
  <c r="C45"/>
  <c r="C42"/>
  <c r="C55"/>
  <c r="C20"/>
  <c r="C41"/>
  <c r="C53"/>
  <c r="C39"/>
  <c r="C16"/>
  <c r="C57"/>
  <c r="CQ25"/>
  <c r="C6" i="23"/>
  <c r="CP25" i="22"/>
  <c r="CR25"/>
  <c r="CS25"/>
  <c r="CS38"/>
  <c r="CQ38"/>
  <c r="CS57"/>
  <c r="CQ57"/>
  <c r="CS16"/>
  <c r="CQ16"/>
  <c r="CS64"/>
  <c r="CQ64"/>
  <c r="CS39"/>
  <c r="CQ39"/>
  <c r="CS22"/>
  <c r="CQ22"/>
  <c r="CS53"/>
  <c r="CQ53"/>
  <c r="CS27"/>
  <c r="CQ27"/>
  <c r="CS41"/>
  <c r="CQ41"/>
  <c r="CS20"/>
  <c r="CQ20"/>
  <c r="CS65"/>
  <c r="CQ65"/>
  <c r="CS55"/>
  <c r="CQ55"/>
  <c r="CS42"/>
  <c r="CQ42"/>
  <c r="CS24"/>
  <c r="CQ24"/>
  <c r="CS45"/>
  <c r="CQ45"/>
  <c r="CS52"/>
  <c r="CQ52"/>
  <c r="CS44"/>
  <c r="CQ44"/>
  <c r="CS63"/>
  <c r="CQ63"/>
  <c r="CS43"/>
  <c r="CQ43"/>
  <c r="CS40"/>
  <c r="CQ40"/>
  <c r="CS30"/>
  <c r="CQ30"/>
  <c r="CS61"/>
  <c r="CQ61"/>
  <c r="CS23"/>
  <c r="CQ23"/>
  <c r="CS46"/>
  <c r="CQ46"/>
  <c r="CS12"/>
  <c r="CQ12"/>
  <c r="CS28"/>
  <c r="CQ28"/>
  <c r="CS47"/>
  <c r="CQ47"/>
  <c r="CS56"/>
  <c r="CQ56"/>
  <c r="CS35"/>
  <c r="CQ35"/>
  <c r="CS31"/>
  <c r="CQ31"/>
  <c r="CS37"/>
  <c r="CQ37"/>
  <c r="CS21"/>
  <c r="CQ21"/>
  <c r="CR38"/>
  <c r="CP38"/>
  <c r="CR57"/>
  <c r="CP57"/>
  <c r="CR16"/>
  <c r="CP16"/>
  <c r="CR64"/>
  <c r="CP64"/>
  <c r="CR39"/>
  <c r="CP39"/>
  <c r="CR22"/>
  <c r="CP22"/>
  <c r="CR53"/>
  <c r="CP53"/>
  <c r="CR27"/>
  <c r="CP27"/>
  <c r="CR41"/>
  <c r="CP41"/>
  <c r="CR20"/>
  <c r="CP20"/>
  <c r="CR65"/>
  <c r="CP65"/>
  <c r="CR55"/>
  <c r="CP55"/>
  <c r="CR42"/>
  <c r="CP42"/>
  <c r="CR24"/>
  <c r="CP24"/>
  <c r="CR45"/>
  <c r="CP45"/>
  <c r="CR52"/>
  <c r="CP52"/>
  <c r="CR44"/>
  <c r="CP44"/>
  <c r="CR63"/>
  <c r="CP63"/>
  <c r="CR43"/>
  <c r="CP43"/>
  <c r="CR40"/>
  <c r="CP40"/>
  <c r="CR30"/>
  <c r="CP30"/>
  <c r="CR61"/>
  <c r="CP61"/>
  <c r="CR23"/>
  <c r="CP23"/>
  <c r="CR46"/>
  <c r="CP46"/>
  <c r="CR12"/>
  <c r="CP12"/>
  <c r="CR28"/>
  <c r="CP28"/>
  <c r="CR47"/>
  <c r="CP47"/>
  <c r="CR56"/>
  <c r="CP56"/>
  <c r="CR35"/>
  <c r="CP35"/>
  <c r="CR31"/>
  <c r="CP31"/>
  <c r="CR37"/>
  <c r="CP37"/>
  <c r="CR21"/>
  <c r="CP21"/>
  <c r="C2"/>
  <c r="F2" s="1"/>
  <c r="C3"/>
  <c r="G3" s="1"/>
  <c r="C4"/>
  <c r="F4" s="1"/>
  <c r="C5"/>
  <c r="F5" s="1"/>
  <c r="C6"/>
  <c r="F6" s="1"/>
  <c r="C7"/>
  <c r="G4"/>
  <c r="E4"/>
  <c r="AU31"/>
  <c r="AV31" s="1"/>
  <c r="AU35"/>
  <c r="AV35" s="1"/>
  <c r="C12"/>
  <c r="C46"/>
  <c r="E2"/>
  <c r="E6"/>
  <c r="AU25"/>
  <c r="AV25" s="1"/>
  <c r="AU21"/>
  <c r="AV21" s="1"/>
  <c r="AU37"/>
  <c r="AV37" s="1"/>
  <c r="C56"/>
  <c r="E3"/>
  <c r="E5"/>
  <c r="AU56"/>
  <c r="AV56" s="1"/>
  <c r="AU47"/>
  <c r="AV47" s="1"/>
  <c r="AU28"/>
  <c r="AV28" s="1"/>
  <c r="AU12"/>
  <c r="AV12" s="1"/>
  <c r="AU46"/>
  <c r="AV46" s="1"/>
  <c r="AU23"/>
  <c r="AV23" s="1"/>
  <c r="AU61"/>
  <c r="AV61" s="1"/>
  <c r="AU30"/>
  <c r="AV30" s="1"/>
  <c r="AU40"/>
  <c r="AV40" s="1"/>
  <c r="AU43"/>
  <c r="AV43" s="1"/>
  <c r="AU63"/>
  <c r="AV63" s="1"/>
  <c r="AU44"/>
  <c r="AV44" s="1"/>
  <c r="AU52"/>
  <c r="AV52" s="1"/>
  <c r="AU45"/>
  <c r="AV45" s="1"/>
  <c r="AU24"/>
  <c r="AV24" s="1"/>
  <c r="AU42"/>
  <c r="AV42" s="1"/>
  <c r="AU55"/>
  <c r="AV55" s="1"/>
  <c r="AU65"/>
  <c r="AV65" s="1"/>
  <c r="AU20"/>
  <c r="AV20" s="1"/>
  <c r="AU41"/>
  <c r="AV41" s="1"/>
  <c r="AU27"/>
  <c r="AV27" s="1"/>
  <c r="AU53"/>
  <c r="AV53" s="1"/>
  <c r="AU22"/>
  <c r="AV22" s="1"/>
  <c r="AU39"/>
  <c r="AV39" s="1"/>
  <c r="AU64"/>
  <c r="AV64" s="1"/>
  <c r="AU16"/>
  <c r="AV16" s="1"/>
  <c r="AU57"/>
  <c r="AV57" s="1"/>
  <c r="AU38"/>
  <c r="AV38" s="1"/>
  <c r="F66" i="9"/>
  <c r="F2" i="5"/>
  <c r="C6"/>
  <c r="C4"/>
  <c r="B8" i="6"/>
  <c r="C5" i="5"/>
  <c r="F5" s="1"/>
  <c r="C3"/>
  <c r="F3" s="1"/>
  <c r="E2" i="6"/>
  <c r="H16" i="9"/>
  <c r="H14"/>
  <c r="H15"/>
  <c r="H17"/>
  <c r="AB10"/>
  <c r="AS10"/>
  <c r="AZ3"/>
  <c r="AZ5"/>
  <c r="AZ7"/>
  <c r="AZ9"/>
  <c r="AZ15"/>
  <c r="AZ17"/>
  <c r="AZ23"/>
  <c r="O53"/>
  <c r="O57"/>
  <c r="O55"/>
  <c r="O61"/>
  <c r="O67"/>
  <c r="G67"/>
  <c r="O69"/>
  <c r="P51"/>
  <c r="O56"/>
  <c r="O54"/>
  <c r="O65"/>
  <c r="H66"/>
  <c r="G66"/>
  <c r="AA10"/>
  <c r="AC10"/>
  <c r="AR10"/>
  <c r="AT10"/>
  <c r="AZ10"/>
  <c r="AC5"/>
  <c r="AU37" i="5"/>
  <c r="AV37" s="1"/>
  <c r="AB22" i="9"/>
  <c r="AC23"/>
  <c r="AS4"/>
  <c r="AS6"/>
  <c r="AS8"/>
  <c r="AS14"/>
  <c r="AS16"/>
  <c r="AS18"/>
  <c r="AS22"/>
  <c r="AB8"/>
  <c r="AB6"/>
  <c r="AB4"/>
  <c r="AB16"/>
  <c r="AC3"/>
  <c r="AC9"/>
  <c r="AC7"/>
  <c r="AB14"/>
  <c r="AC17"/>
  <c r="AC15"/>
  <c r="AB18"/>
  <c r="AM3"/>
  <c r="AM5"/>
  <c r="AM7"/>
  <c r="AM9"/>
  <c r="AT15"/>
  <c r="AT17"/>
  <c r="AT23"/>
  <c r="AZ4"/>
  <c r="AZ6"/>
  <c r="AZ8"/>
  <c r="AZ14"/>
  <c r="AZ16"/>
  <c r="AZ18"/>
  <c r="AZ22"/>
  <c r="G65"/>
  <c r="H67"/>
  <c r="H69"/>
  <c r="F67"/>
  <c r="G69"/>
  <c r="F69"/>
  <c r="AB3"/>
  <c r="AA4"/>
  <c r="AC4"/>
  <c r="AB5"/>
  <c r="AA6"/>
  <c r="AC6"/>
  <c r="AB7"/>
  <c r="AA8"/>
  <c r="AC8"/>
  <c r="AB9"/>
  <c r="AA14"/>
  <c r="AC14"/>
  <c r="AB15"/>
  <c r="F45" s="1"/>
  <c r="AA16"/>
  <c r="AC16"/>
  <c r="AB17"/>
  <c r="AA18"/>
  <c r="AC18"/>
  <c r="AA22"/>
  <c r="AC22"/>
  <c r="AB23"/>
  <c r="AS3"/>
  <c r="AR4"/>
  <c r="AT4"/>
  <c r="AS5"/>
  <c r="AR6"/>
  <c r="AT6"/>
  <c r="AS7"/>
  <c r="AR8"/>
  <c r="AT8"/>
  <c r="AS9"/>
  <c r="AR14"/>
  <c r="AT14"/>
  <c r="AS15"/>
  <c r="AR16"/>
  <c r="AT16"/>
  <c r="AS17"/>
  <c r="AR18"/>
  <c r="AT18"/>
  <c r="AR22"/>
  <c r="AT22"/>
  <c r="AS23"/>
  <c r="AA3"/>
  <c r="AA5"/>
  <c r="AA7"/>
  <c r="AA9"/>
  <c r="AA15"/>
  <c r="AA17"/>
  <c r="AA23"/>
  <c r="AR3"/>
  <c r="AT3"/>
  <c r="AR5"/>
  <c r="AT5"/>
  <c r="AR7"/>
  <c r="AT7"/>
  <c r="AR9"/>
  <c r="AT9"/>
  <c r="AR15"/>
  <c r="AR17"/>
  <c r="AR23"/>
  <c r="AM18"/>
  <c r="G13"/>
  <c r="V22"/>
  <c r="V23"/>
  <c r="C50"/>
  <c r="D49" s="1"/>
  <c r="V14"/>
  <c r="V10"/>
  <c r="AM4"/>
  <c r="AM6"/>
  <c r="AM8"/>
  <c r="AM10"/>
  <c r="AP11"/>
  <c r="AK11"/>
  <c r="X11"/>
  <c r="AL11"/>
  <c r="AO11"/>
  <c r="AQ11"/>
  <c r="V11"/>
  <c r="Z11"/>
  <c r="AN11"/>
  <c r="AM16"/>
  <c r="G53"/>
  <c r="F55"/>
  <c r="H61"/>
  <c r="F58"/>
  <c r="G56"/>
  <c r="G54"/>
  <c r="G58"/>
  <c r="H58"/>
  <c r="V8"/>
  <c r="V6"/>
  <c r="V16"/>
  <c r="F39" s="1"/>
  <c r="AM14"/>
  <c r="AM22"/>
  <c r="F53"/>
  <c r="H53"/>
  <c r="H56"/>
  <c r="F56"/>
  <c r="G55"/>
  <c r="H54"/>
  <c r="F54"/>
  <c r="G61"/>
  <c r="V9"/>
  <c r="V7"/>
  <c r="V5"/>
  <c r="V17"/>
  <c r="V15"/>
  <c r="V18"/>
  <c r="F61"/>
  <c r="F57"/>
  <c r="G57"/>
  <c r="H57"/>
  <c r="F65"/>
  <c r="H65"/>
  <c r="AM15"/>
  <c r="AM17"/>
  <c r="AM23"/>
  <c r="G10"/>
  <c r="F10"/>
  <c r="Y3"/>
  <c r="Y9"/>
  <c r="Y7"/>
  <c r="Y5"/>
  <c r="Y17"/>
  <c r="Y15"/>
  <c r="Y18"/>
  <c r="Y14"/>
  <c r="Y10"/>
  <c r="AP3"/>
  <c r="AP5"/>
  <c r="AP7"/>
  <c r="AP9"/>
  <c r="AP15"/>
  <c r="AP17"/>
  <c r="AP23"/>
  <c r="Y8"/>
  <c r="Y6"/>
  <c r="Y4"/>
  <c r="Y16"/>
  <c r="Y22"/>
  <c r="F42" s="1"/>
  <c r="W23"/>
  <c r="Y23"/>
  <c r="AO4"/>
  <c r="AO6"/>
  <c r="AO8"/>
  <c r="AO10"/>
  <c r="AO14"/>
  <c r="AO16"/>
  <c r="AO18"/>
  <c r="AO22"/>
  <c r="Z5"/>
  <c r="Z7"/>
  <c r="Z9"/>
  <c r="Z15"/>
  <c r="Z17"/>
  <c r="Z23"/>
  <c r="AK3"/>
  <c r="AK10"/>
  <c r="AK8"/>
  <c r="AK6"/>
  <c r="AK4"/>
  <c r="AK15"/>
  <c r="AK22"/>
  <c r="H42" s="1"/>
  <c r="AK18"/>
  <c r="W3"/>
  <c r="X4"/>
  <c r="X6"/>
  <c r="X8"/>
  <c r="X10"/>
  <c r="X14"/>
  <c r="X16"/>
  <c r="X18"/>
  <c r="X22"/>
  <c r="AO3"/>
  <c r="AQ3"/>
  <c r="AL4"/>
  <c r="AN4"/>
  <c r="AP4"/>
  <c r="AO5"/>
  <c r="AQ5"/>
  <c r="AL6"/>
  <c r="AN6"/>
  <c r="AP6"/>
  <c r="AO7"/>
  <c r="AQ7"/>
  <c r="AL8"/>
  <c r="AN8"/>
  <c r="AP8"/>
  <c r="AO9"/>
  <c r="AQ9"/>
  <c r="AL10"/>
  <c r="AN10"/>
  <c r="AP10"/>
  <c r="AL14"/>
  <c r="AN14"/>
  <c r="AP14"/>
  <c r="AO15"/>
  <c r="AQ15"/>
  <c r="AL16"/>
  <c r="AN16"/>
  <c r="AP16"/>
  <c r="AO17"/>
  <c r="AQ17"/>
  <c r="AL18"/>
  <c r="AN18"/>
  <c r="AP18"/>
  <c r="AL22"/>
  <c r="AN22"/>
  <c r="AP22"/>
  <c r="AO23"/>
  <c r="AQ23"/>
  <c r="Z4"/>
  <c r="F43" s="1"/>
  <c r="Z6"/>
  <c r="Z8"/>
  <c r="Z10"/>
  <c r="Z14"/>
  <c r="Z16"/>
  <c r="Z18"/>
  <c r="Z22"/>
  <c r="AK9"/>
  <c r="AK7"/>
  <c r="AK5"/>
  <c r="H38" s="1"/>
  <c r="AK14"/>
  <c r="AK16"/>
  <c r="H39" s="1"/>
  <c r="AK23"/>
  <c r="AK17"/>
  <c r="X3"/>
  <c r="X5"/>
  <c r="X7"/>
  <c r="X9"/>
  <c r="X15"/>
  <c r="F30" s="1"/>
  <c r="X17"/>
  <c r="X23"/>
  <c r="Z3"/>
  <c r="AL3"/>
  <c r="AN3"/>
  <c r="AQ4"/>
  <c r="AL5"/>
  <c r="AN5"/>
  <c r="AQ6"/>
  <c r="AL7"/>
  <c r="AN7"/>
  <c r="AQ8"/>
  <c r="AL9"/>
  <c r="AN9"/>
  <c r="AQ10"/>
  <c r="AQ14"/>
  <c r="AL15"/>
  <c r="AN15"/>
  <c r="AQ16"/>
  <c r="AL17"/>
  <c r="AN17"/>
  <c r="AQ18"/>
  <c r="AQ22"/>
  <c r="AL23"/>
  <c r="AN23"/>
  <c r="F8"/>
  <c r="W10"/>
  <c r="F18"/>
  <c r="W18"/>
  <c r="W11"/>
  <c r="W8"/>
  <c r="W6"/>
  <c r="W4"/>
  <c r="W16"/>
  <c r="G39" s="1"/>
  <c r="W22"/>
  <c r="W9"/>
  <c r="W7"/>
  <c r="W5"/>
  <c r="W14"/>
  <c r="W17"/>
  <c r="W15"/>
  <c r="W24"/>
  <c r="W19"/>
  <c r="F19"/>
  <c r="F17"/>
  <c r="G9"/>
  <c r="G8"/>
  <c r="F9"/>
  <c r="F16"/>
  <c r="F14"/>
  <c r="F15"/>
  <c r="G3"/>
  <c r="F3"/>
  <c r="F4"/>
  <c r="G7"/>
  <c r="G5"/>
  <c r="F7"/>
  <c r="F6"/>
  <c r="G6"/>
  <c r="G4"/>
  <c r="F11"/>
  <c r="G11"/>
  <c r="F5"/>
  <c r="W39" l="1"/>
  <c r="X38"/>
  <c r="W45"/>
  <c r="X45"/>
  <c r="H2"/>
  <c r="G43"/>
  <c r="F38"/>
  <c r="H43"/>
  <c r="H44"/>
  <c r="F44"/>
  <c r="B3" i="5"/>
  <c r="B5"/>
  <c r="B6"/>
  <c r="G6" s="1"/>
  <c r="B2"/>
  <c r="B4"/>
  <c r="G4" s="1"/>
  <c r="BR19"/>
  <c r="B7"/>
  <c r="H40" i="9"/>
  <c r="D48"/>
  <c r="H46"/>
  <c r="F46"/>
  <c r="F41"/>
  <c r="H45"/>
  <c r="H41"/>
  <c r="G45"/>
  <c r="G38"/>
  <c r="G46"/>
  <c r="G44"/>
  <c r="G42"/>
  <c r="F40"/>
  <c r="G40"/>
  <c r="G41"/>
  <c r="W30"/>
  <c r="F28"/>
  <c r="K57" i="7"/>
  <c r="K90" s="1"/>
  <c r="K58"/>
  <c r="K64" s="1"/>
  <c r="G28" i="9"/>
  <c r="G30"/>
  <c r="F27"/>
  <c r="X32"/>
  <c r="X27"/>
  <c r="W32"/>
  <c r="X31"/>
  <c r="W31"/>
  <c r="X30"/>
  <c r="M50" i="7"/>
  <c r="L48"/>
  <c r="G27" i="9"/>
  <c r="W28"/>
  <c r="W34"/>
  <c r="F34"/>
  <c r="X28"/>
  <c r="X33"/>
  <c r="W33"/>
  <c r="F35"/>
  <c r="P68"/>
  <c r="P58"/>
  <c r="X29"/>
  <c r="F31"/>
  <c r="F33"/>
  <c r="W29"/>
  <c r="W27"/>
  <c r="X34"/>
  <c r="F32"/>
  <c r="G32"/>
  <c r="G33"/>
  <c r="G31"/>
  <c r="G35"/>
  <c r="C8" i="25"/>
  <c r="H29" i="9"/>
  <c r="C10" i="25"/>
  <c r="H35" i="9"/>
  <c r="C7" i="25"/>
  <c r="H30" i="9"/>
  <c r="C11" i="25"/>
  <c r="H32" i="9"/>
  <c r="G29"/>
  <c r="F29"/>
  <c r="C6" i="25"/>
  <c r="H33" i="9"/>
  <c r="H28"/>
  <c r="C12" i="25"/>
  <c r="C4"/>
  <c r="H31" i="9"/>
  <c r="C9" i="25"/>
  <c r="H27" i="9"/>
  <c r="C5" i="25"/>
  <c r="H34" i="9"/>
  <c r="G34"/>
  <c r="P62"/>
  <c r="P70"/>
  <c r="G5" i="5"/>
  <c r="G2" i="22"/>
  <c r="G6"/>
  <c r="C8"/>
  <c r="F8" s="1"/>
  <c r="F3"/>
  <c r="CT21"/>
  <c r="CT35"/>
  <c r="CT56"/>
  <c r="CT47"/>
  <c r="CT12"/>
  <c r="CT46"/>
  <c r="CT23"/>
  <c r="CT61"/>
  <c r="CT40"/>
  <c r="CT43"/>
  <c r="CT44"/>
  <c r="CT24"/>
  <c r="CT65"/>
  <c r="CT27"/>
  <c r="CT22"/>
  <c r="CT39"/>
  <c r="CT64"/>
  <c r="CT16"/>
  <c r="CT57"/>
  <c r="CT38"/>
  <c r="F6" i="23"/>
  <c r="G6"/>
  <c r="CT37" i="22"/>
  <c r="CT28"/>
  <c r="CT30"/>
  <c r="CT63"/>
  <c r="CT52"/>
  <c r="CT45"/>
  <c r="CT42"/>
  <c r="CT55"/>
  <c r="CT20"/>
  <c r="CT41"/>
  <c r="CT53"/>
  <c r="CT25"/>
  <c r="CT31"/>
  <c r="G5"/>
  <c r="G3" i="5"/>
  <c r="F6"/>
  <c r="E8" i="6"/>
  <c r="C8" i="5"/>
  <c r="F4"/>
  <c r="P69" i="9"/>
  <c r="P67"/>
  <c r="P61"/>
  <c r="P55"/>
  <c r="P57"/>
  <c r="P53"/>
  <c r="P66"/>
  <c r="P65"/>
  <c r="P54"/>
  <c r="P56"/>
  <c r="Q51"/>
  <c r="H13"/>
  <c r="F13"/>
  <c r="F2"/>
  <c r="G2"/>
  <c r="C2" i="23" l="1"/>
  <c r="E2" i="5"/>
  <c r="G2"/>
  <c r="C2" i="6"/>
  <c r="B8" i="5"/>
  <c r="E8" s="1"/>
  <c r="C5" i="6"/>
  <c r="C5" i="23"/>
  <c r="E5" i="5"/>
  <c r="C7" i="6"/>
  <c r="C7" i="23"/>
  <c r="C4"/>
  <c r="E4" i="5"/>
  <c r="C4" i="6"/>
  <c r="C6"/>
  <c r="E6" i="5"/>
  <c r="C3" i="6"/>
  <c r="E3" i="5"/>
  <c r="C3" i="23"/>
  <c r="D7" i="25"/>
  <c r="D9"/>
  <c r="D4"/>
  <c r="L57" i="7"/>
  <c r="L90" s="1"/>
  <c r="L58"/>
  <c r="L64" s="1"/>
  <c r="D8" i="25"/>
  <c r="D5"/>
  <c r="N50" i="7"/>
  <c r="M48"/>
  <c r="D6" i="25"/>
  <c r="D10"/>
  <c r="D11"/>
  <c r="Q68" i="9"/>
  <c r="Q58"/>
  <c r="Q62"/>
  <c r="Q70"/>
  <c r="G8" i="22"/>
  <c r="F8" i="5"/>
  <c r="G8"/>
  <c r="R51" i="9"/>
  <c r="Q66"/>
  <c r="Q65"/>
  <c r="Q54"/>
  <c r="Q56"/>
  <c r="Q69"/>
  <c r="Q67"/>
  <c r="Q61"/>
  <c r="Q55"/>
  <c r="Q57"/>
  <c r="Q53"/>
  <c r="F4" i="6" l="1"/>
  <c r="G4"/>
  <c r="F4" i="23"/>
  <c r="G4"/>
  <c r="G5"/>
  <c r="F5"/>
  <c r="F2"/>
  <c r="G2"/>
  <c r="C8"/>
  <c r="F3"/>
  <c r="G3"/>
  <c r="F3" i="6"/>
  <c r="G3"/>
  <c r="F6"/>
  <c r="G6"/>
  <c r="F5"/>
  <c r="G5"/>
  <c r="G2"/>
  <c r="C8"/>
  <c r="F2"/>
  <c r="M57" i="7"/>
  <c r="M58"/>
  <c r="M64" s="1"/>
  <c r="O50"/>
  <c r="O48" s="1"/>
  <c r="N48"/>
  <c r="R68" i="9"/>
  <c r="R58"/>
  <c r="R62"/>
  <c r="R70"/>
  <c r="S51"/>
  <c r="R69"/>
  <c r="R67"/>
  <c r="R61"/>
  <c r="R55"/>
  <c r="R57"/>
  <c r="R53"/>
  <c r="R66"/>
  <c r="R65"/>
  <c r="R54"/>
  <c r="R56"/>
  <c r="F8" i="6" l="1"/>
  <c r="G8"/>
  <c r="G8" i="23"/>
  <c r="F8"/>
  <c r="N57" i="7"/>
  <c r="N58"/>
  <c r="N64" s="1"/>
  <c r="O57"/>
  <c r="O58"/>
  <c r="O64" s="1"/>
  <c r="S68" i="9"/>
  <c r="S58"/>
  <c r="S62"/>
  <c r="S70"/>
  <c r="T51"/>
  <c r="S66"/>
  <c r="S65"/>
  <c r="S54"/>
  <c r="S56"/>
  <c r="S69"/>
  <c r="S67"/>
  <c r="S61"/>
  <c r="S55"/>
  <c r="S57"/>
  <c r="S53"/>
  <c r="T68" l="1"/>
  <c r="T58"/>
  <c r="T62"/>
  <c r="T70"/>
  <c r="U51"/>
  <c r="T69"/>
  <c r="T67"/>
  <c r="T61"/>
  <c r="T55"/>
  <c r="T57"/>
  <c r="T53"/>
  <c r="T66"/>
  <c r="T65"/>
  <c r="T54"/>
  <c r="T56"/>
  <c r="U68" l="1"/>
  <c r="U58"/>
  <c r="U62"/>
  <c r="U70"/>
  <c r="V51"/>
  <c r="U66"/>
  <c r="U65"/>
  <c r="U54"/>
  <c r="U56"/>
  <c r="U69"/>
  <c r="U67"/>
  <c r="U61"/>
  <c r="U55"/>
  <c r="U57"/>
  <c r="U53"/>
  <c r="V68" l="1"/>
  <c r="V58"/>
  <c r="V62"/>
  <c r="V70"/>
  <c r="W51"/>
  <c r="V69"/>
  <c r="V67"/>
  <c r="V61"/>
  <c r="V55"/>
  <c r="V57"/>
  <c r="V53"/>
  <c r="V66"/>
  <c r="V65"/>
  <c r="V54"/>
  <c r="V56"/>
  <c r="W68" l="1"/>
  <c r="W58"/>
  <c r="W62"/>
  <c r="W70"/>
  <c r="X51"/>
  <c r="W66"/>
  <c r="W65"/>
  <c r="W54"/>
  <c r="W56"/>
  <c r="W69"/>
  <c r="W67"/>
  <c r="W61"/>
  <c r="W55"/>
  <c r="W57"/>
  <c r="W53"/>
  <c r="X68" l="1"/>
  <c r="X58"/>
  <c r="X62"/>
  <c r="X70"/>
  <c r="Y51"/>
  <c r="X69"/>
  <c r="X67"/>
  <c r="X61"/>
  <c r="X55"/>
  <c r="X57"/>
  <c r="X53"/>
  <c r="X66"/>
  <c r="X65"/>
  <c r="X54"/>
  <c r="X56"/>
  <c r="Y68" l="1"/>
  <c r="J68" s="1"/>
  <c r="Y58"/>
  <c r="J58" s="1"/>
  <c r="Y62"/>
  <c r="J62" s="1"/>
  <c r="Y70"/>
  <c r="J70" s="1"/>
  <c r="Y66"/>
  <c r="J66" s="1"/>
  <c r="Y65"/>
  <c r="J65" s="1"/>
  <c r="Y54"/>
  <c r="J54" s="1"/>
  <c r="Y56"/>
  <c r="J56" s="1"/>
  <c r="Y69"/>
  <c r="J69" s="1"/>
  <c r="Y67"/>
  <c r="J67" s="1"/>
  <c r="Y61"/>
  <c r="J61" s="1"/>
  <c r="Y55"/>
  <c r="J55" s="1"/>
  <c r="Y57"/>
  <c r="J57" s="1"/>
  <c r="Y53"/>
  <c r="J53" s="1"/>
</calcChain>
</file>

<file path=xl/sharedStrings.xml><?xml version="1.0" encoding="utf-8"?>
<sst xmlns="http://schemas.openxmlformats.org/spreadsheetml/2006/main" count="9679" uniqueCount="648">
  <si>
    <t>87-89 Mph</t>
  </si>
  <si>
    <t>89-90 Mph</t>
  </si>
  <si>
    <t>90-92 Mph</t>
  </si>
  <si>
    <t>92-94 Mph</t>
  </si>
  <si>
    <t>Carlos Rivera</t>
  </si>
  <si>
    <t>95-97 Mph</t>
  </si>
  <si>
    <t>91-93 Mph</t>
  </si>
  <si>
    <t>85-87 Mph</t>
  </si>
  <si>
    <t>Bob Brown</t>
  </si>
  <si>
    <t>Donald Mays</t>
  </si>
  <si>
    <t>Ernesto Ramírez</t>
  </si>
  <si>
    <t>93-95 Mph</t>
  </si>
  <si>
    <t>Hugh Watson</t>
  </si>
  <si>
    <t>Ed Bryant</t>
  </si>
  <si>
    <t>97-99 Mph</t>
  </si>
  <si>
    <t>94-96 Mph</t>
  </si>
  <si>
    <t>Conrad Shelton</t>
  </si>
  <si>
    <t>Will Young</t>
  </si>
  <si>
    <t>DH</t>
  </si>
  <si>
    <t>RP</t>
  </si>
  <si>
    <t>Name</t>
  </si>
  <si>
    <t>OVR</t>
  </si>
  <si>
    <t>POT</t>
  </si>
  <si>
    <t>WE</t>
  </si>
  <si>
    <t>INT</t>
  </si>
  <si>
    <t>CON</t>
  </si>
  <si>
    <t>GAP</t>
  </si>
  <si>
    <t>POW</t>
  </si>
  <si>
    <t>EYE</t>
  </si>
  <si>
    <t>K's</t>
  </si>
  <si>
    <t>CON P</t>
  </si>
  <si>
    <t>GAP P</t>
  </si>
  <si>
    <t>POW P</t>
  </si>
  <si>
    <t>EYE P</t>
  </si>
  <si>
    <t>K P</t>
  </si>
  <si>
    <t>SPE</t>
  </si>
  <si>
    <t>STE</t>
  </si>
  <si>
    <t>RUN</t>
  </si>
  <si>
    <t>SLR</t>
  </si>
  <si>
    <t>YL</t>
  </si>
  <si>
    <t>3 stars</t>
  </si>
  <si>
    <t>-</t>
  </si>
  <si>
    <t>2 stars</t>
  </si>
  <si>
    <t>Ronald Lowry</t>
  </si>
  <si>
    <t>5 stars</t>
  </si>
  <si>
    <t>1 (auto.)</t>
  </si>
  <si>
    <t>1 (arbitr.)</t>
  </si>
  <si>
    <t>1 star</t>
  </si>
  <si>
    <t>4 stars</t>
  </si>
  <si>
    <t>Alberto Flores</t>
  </si>
  <si>
    <t>Jimmy Lord</t>
  </si>
  <si>
    <t>Dave Wells</t>
  </si>
  <si>
    <t>Mike Stephens</t>
  </si>
  <si>
    <t>Martin Smith</t>
  </si>
  <si>
    <t>Jorge Martínez</t>
  </si>
  <si>
    <t>RL</t>
  </si>
  <si>
    <t>STU</t>
  </si>
  <si>
    <t>MOV</t>
  </si>
  <si>
    <t>STU P</t>
  </si>
  <si>
    <t>MOV P</t>
  </si>
  <si>
    <t>FB</t>
  </si>
  <si>
    <t>FBP</t>
  </si>
  <si>
    <t>CH</t>
  </si>
  <si>
    <t>CHP</t>
  </si>
  <si>
    <t>CB</t>
  </si>
  <si>
    <t>CBP</t>
  </si>
  <si>
    <t>SL</t>
  </si>
  <si>
    <t>SLP</t>
  </si>
  <si>
    <t>SI</t>
  </si>
  <si>
    <t>SIP</t>
  </si>
  <si>
    <t>SPP</t>
  </si>
  <si>
    <t>CT</t>
  </si>
  <si>
    <t>CTP</t>
  </si>
  <si>
    <t>FO</t>
  </si>
  <si>
    <t>FOP</t>
  </si>
  <si>
    <t>CC</t>
  </si>
  <si>
    <t>CCP</t>
  </si>
  <si>
    <t>SC</t>
  </si>
  <si>
    <t>SCP</t>
  </si>
  <si>
    <t>KC</t>
  </si>
  <si>
    <t>KCP</t>
  </si>
  <si>
    <t>KN</t>
  </si>
  <si>
    <t>KNP</t>
  </si>
  <si>
    <t>VELO</t>
  </si>
  <si>
    <t>STM</t>
  </si>
  <si>
    <t>G/F</t>
  </si>
  <si>
    <t>Exp</t>
  </si>
  <si>
    <t>At Now</t>
  </si>
  <si>
    <t>At Pot</t>
  </si>
  <si>
    <t>At Exp</t>
  </si>
  <si>
    <t>Samuel Kettley</t>
  </si>
  <si>
    <t>Age</t>
  </si>
  <si>
    <t>C</t>
  </si>
  <si>
    <t>K</t>
  </si>
  <si>
    <t>1B</t>
  </si>
  <si>
    <t>2B</t>
  </si>
  <si>
    <t>3B</t>
  </si>
  <si>
    <t>SS</t>
  </si>
  <si>
    <t>LF</t>
  </si>
  <si>
    <t>CF</t>
  </si>
  <si>
    <t>RF</t>
  </si>
  <si>
    <t>B</t>
  </si>
  <si>
    <t>T</t>
  </si>
  <si>
    <t>L</t>
  </si>
  <si>
    <t>R</t>
  </si>
  <si>
    <t>BR</t>
  </si>
  <si>
    <t>S</t>
  </si>
  <si>
    <t>MR</t>
  </si>
  <si>
    <t>SP</t>
  </si>
  <si>
    <t>CL</t>
  </si>
  <si>
    <t>Def</t>
  </si>
  <si>
    <t>POS</t>
  </si>
  <si>
    <t>OVR SMC</t>
  </si>
  <si>
    <t>POT SMC</t>
  </si>
  <si>
    <t>Act</t>
  </si>
  <si>
    <t>FA?</t>
  </si>
  <si>
    <t>nCPE Avg</t>
  </si>
  <si>
    <t>fCPE Avg</t>
  </si>
  <si>
    <t>Player</t>
  </si>
  <si>
    <t>Pos</t>
  </si>
  <si>
    <t>ML Service</t>
  </si>
  <si>
    <t>Arbitration</t>
  </si>
  <si>
    <t>Options</t>
  </si>
  <si>
    <t>Additions</t>
  </si>
  <si>
    <t>Bat Pool</t>
  </si>
  <si>
    <t>Glove Pool</t>
  </si>
  <si>
    <t>SP Pool</t>
  </si>
  <si>
    <t>Swing</t>
  </si>
  <si>
    <t>CL Pool</t>
  </si>
  <si>
    <t>SU</t>
  </si>
  <si>
    <t>RP Pool</t>
  </si>
  <si>
    <t>LHP</t>
  </si>
  <si>
    <t>RHP</t>
  </si>
  <si>
    <t>C Pool</t>
  </si>
  <si>
    <t>IF Arm</t>
  </si>
  <si>
    <t>OF Arm</t>
  </si>
  <si>
    <t>C Arm</t>
  </si>
  <si>
    <t>#1 Hitter (High OBP, Speed)</t>
  </si>
  <si>
    <t>#3 Hitter (High Avg, Power, Eye)</t>
  </si>
  <si>
    <t>#4 Hitter (High Power, One of AVG/EYE)</t>
  </si>
  <si>
    <t>#5 Hitter (High Power)</t>
  </si>
  <si>
    <t>#6 Hitter (Two of High Avg, Power, Eye)</t>
  </si>
  <si>
    <t>#7 Hitter (One of High Avg, Power, Eye)</t>
  </si>
  <si>
    <t>#9 Hitter (One of High Avg, Power, Eye)</t>
  </si>
  <si>
    <t>#8 Hitter (One of High Avg, Power, Eye)</t>
  </si>
  <si>
    <t>G</t>
  </si>
  <si>
    <t>P</t>
  </si>
  <si>
    <t>Contact</t>
  </si>
  <si>
    <t>Gap</t>
  </si>
  <si>
    <t>Power</t>
  </si>
  <si>
    <t>Eye</t>
  </si>
  <si>
    <t>Speed</t>
  </si>
  <si>
    <t>Stealing</t>
  </si>
  <si>
    <t>#5 Hitter (Med Power, One of AVG/Eye)</t>
  </si>
  <si>
    <t>#4 Hitter (High Power, One of AVG/Eye)</t>
  </si>
  <si>
    <t>Lineup</t>
  </si>
  <si>
    <t>Ok?</t>
  </si>
  <si>
    <t>Bat Score</t>
  </si>
  <si>
    <t>BS</t>
  </si>
  <si>
    <t>#8 Hitter (One of High Avg, Gap, Power, Eye)</t>
  </si>
  <si>
    <t>Idl</t>
  </si>
  <si>
    <t>n#1</t>
  </si>
  <si>
    <t>n#2</t>
  </si>
  <si>
    <t>n#3</t>
  </si>
  <si>
    <t>n#4</t>
  </si>
  <si>
    <t>n#5</t>
  </si>
  <si>
    <t>n#6</t>
  </si>
  <si>
    <t>n#7</t>
  </si>
  <si>
    <t>n#8</t>
  </si>
  <si>
    <t>n#9</t>
  </si>
  <si>
    <t>f#1</t>
  </si>
  <si>
    <t>f#2</t>
  </si>
  <si>
    <t>f#3</t>
  </si>
  <si>
    <t>f#4</t>
  </si>
  <si>
    <t>f#5</t>
  </si>
  <si>
    <t>f#6</t>
  </si>
  <si>
    <t>f#7</t>
  </si>
  <si>
    <t>f#8</t>
  </si>
  <si>
    <t>f#9</t>
  </si>
  <si>
    <t>fLin</t>
  </si>
  <si>
    <t>pLin</t>
  </si>
  <si>
    <t>#2 Hitter (High Avg, Low K's or High OBP)</t>
  </si>
  <si>
    <t>Rnk</t>
  </si>
  <si>
    <t>At Least 2 Aces</t>
  </si>
  <si>
    <t>At Least 3 #2's</t>
  </si>
  <si>
    <t>At Least 4 #3's</t>
  </si>
  <si>
    <t>Stuff</t>
  </si>
  <si>
    <t>Movement</t>
  </si>
  <si>
    <t>Control</t>
  </si>
  <si>
    <t>Pitches</t>
  </si>
  <si>
    <t>Ace</t>
  </si>
  <si>
    <t>Stud</t>
  </si>
  <si>
    <t>Solid</t>
  </si>
  <si>
    <t>#</t>
  </si>
  <si>
    <t>Batters</t>
  </si>
  <si>
    <t>Pitchers</t>
  </si>
  <si>
    <t>Roster Size</t>
  </si>
  <si>
    <t>Pot Score</t>
  </si>
  <si>
    <t>Stam</t>
  </si>
  <si>
    <t>Velo</t>
  </si>
  <si>
    <t>GB%</t>
  </si>
  <si>
    <t>IF ARM</t>
  </si>
  <si>
    <t>QP</t>
  </si>
  <si>
    <t>E</t>
  </si>
  <si>
    <t>Sp</t>
  </si>
  <si>
    <t>St</t>
  </si>
  <si>
    <t>Lvl</t>
  </si>
  <si>
    <t>ML</t>
  </si>
  <si>
    <t>AAA</t>
  </si>
  <si>
    <t>AA</t>
  </si>
  <si>
    <t>A</t>
  </si>
  <si>
    <t>Role</t>
  </si>
  <si>
    <t>Throws</t>
  </si>
  <si>
    <t>Rng</t>
  </si>
  <si>
    <t>ID</t>
  </si>
  <si>
    <t>Rem</t>
  </si>
  <si>
    <t>Tot</t>
  </si>
  <si>
    <t>B%</t>
  </si>
  <si>
    <t>P%</t>
  </si>
  <si>
    <t>T%</t>
  </si>
  <si>
    <t>Gerardo Soto</t>
  </si>
  <si>
    <t>Subtractions</t>
  </si>
  <si>
    <t>Net +/-</t>
  </si>
  <si>
    <t>Very High</t>
  </si>
  <si>
    <t>High</t>
  </si>
  <si>
    <t>Normal</t>
  </si>
  <si>
    <t>Low</t>
  </si>
  <si>
    <t>Very Low</t>
  </si>
  <si>
    <t>Rat</t>
  </si>
  <si>
    <t>Pot</t>
  </si>
  <si>
    <t>Run</t>
  </si>
  <si>
    <t>Arm</t>
  </si>
  <si>
    <t>Allen Martin</t>
  </si>
  <si>
    <t>Juan Parita</t>
  </si>
  <si>
    <t>Millard Bowden</t>
  </si>
  <si>
    <t>Aid</t>
  </si>
  <si>
    <t>Now</t>
  </si>
  <si>
    <t>ML Chance</t>
  </si>
  <si>
    <t>Plan</t>
  </si>
  <si>
    <t>Off</t>
  </si>
  <si>
    <t>Jim Griffin</t>
  </si>
  <si>
    <t>Carlos Ávila</t>
  </si>
  <si>
    <t>96-98 Mph</t>
  </si>
  <si>
    <t>Players</t>
  </si>
  <si>
    <t>Have</t>
  </si>
  <si>
    <t>Want</t>
  </si>
  <si>
    <t>Short</t>
  </si>
  <si>
    <t>Net</t>
  </si>
  <si>
    <t>Def Req</t>
  </si>
  <si>
    <t>Arm&gt;7</t>
  </si>
  <si>
    <t>Rng&gt;7</t>
  </si>
  <si>
    <t>Arm&gt;5, Rng&gt;5</t>
  </si>
  <si>
    <t>Rng&gt;5</t>
  </si>
  <si>
    <t>Rng&gt;3</t>
  </si>
  <si>
    <t>Arm&gt;5</t>
  </si>
  <si>
    <t>Total</t>
  </si>
  <si>
    <t>Rng&gt;6</t>
  </si>
  <si>
    <t>Arm&gt;7, Rng&gt;5</t>
  </si>
  <si>
    <t>Arm&gt;6, Rng&gt;5</t>
  </si>
  <si>
    <t>Future</t>
  </si>
  <si>
    <t>General Information</t>
  </si>
  <si>
    <t>Team Focus</t>
  </si>
  <si>
    <t>Staff Payroll</t>
  </si>
  <si>
    <t>Player Payroll</t>
  </si>
  <si>
    <t>Current Budget</t>
  </si>
  <si>
    <t>Projected Balance</t>
  </si>
  <si>
    <t>Average Player Salary</t>
  </si>
  <si>
    <t>League Average Salary</t>
  </si>
  <si>
    <t>Highest Paid Players:</t>
  </si>
  <si>
    <t>Current Financial Overview</t>
  </si>
  <si>
    <t>Attendance</t>
  </si>
  <si>
    <t>Attendance per Game</t>
  </si>
  <si>
    <t>Gate Revenue</t>
  </si>
  <si>
    <t>Playoff Revenue</t>
  </si>
  <si>
    <t>Media Revenue</t>
  </si>
  <si>
    <t>Merchandising Revenue</t>
  </si>
  <si>
    <t>Revenue Sharing</t>
  </si>
  <si>
    <t>CASH</t>
  </si>
  <si>
    <t>Player Expenses</t>
  </si>
  <si>
    <t>Staff Expenses</t>
  </si>
  <si>
    <t>BALANCE</t>
  </si>
  <si>
    <t>Last Season Overview</t>
  </si>
  <si>
    <t>Wins</t>
  </si>
  <si>
    <t>Losses</t>
  </si>
  <si>
    <t>Pct</t>
  </si>
  <si>
    <t>Home Wins</t>
  </si>
  <si>
    <t>Home Losses</t>
  </si>
  <si>
    <t>Home Pct</t>
  </si>
  <si>
    <t>Away Wins</t>
  </si>
  <si>
    <t>Away Losses</t>
  </si>
  <si>
    <t>Away Pct</t>
  </si>
  <si>
    <t>Remaining Games</t>
  </si>
  <si>
    <t>Remaining Home Games</t>
  </si>
  <si>
    <t>Remaining Away Games</t>
  </si>
  <si>
    <t>Projected</t>
  </si>
  <si>
    <t>Héctor Martínez</t>
  </si>
  <si>
    <t>Budget</t>
  </si>
  <si>
    <t>Budget Space</t>
  </si>
  <si>
    <t>Stm</t>
  </si>
  <si>
    <t>Suketsune Agano</t>
  </si>
  <si>
    <t>CLvl</t>
  </si>
  <si>
    <t>Avg Ticket Income</t>
  </si>
  <si>
    <t>Est. Attendance</t>
  </si>
  <si>
    <t>Proj. Gate Rev</t>
  </si>
  <si>
    <t>Merch Per Att.</t>
  </si>
  <si>
    <t>Proj. Merch</t>
  </si>
  <si>
    <t>Proj. Rev.</t>
  </si>
  <si>
    <t>Home GR</t>
  </si>
  <si>
    <t>+/- Improvement</t>
  </si>
  <si>
    <t>Sun-dong Kim</t>
  </si>
  <si>
    <t>Extension Calculator</t>
  </si>
  <si>
    <t>$/Yr</t>
  </si>
  <si>
    <t>eAge</t>
  </si>
  <si>
    <t>Lev</t>
  </si>
  <si>
    <t>OF ARM</t>
  </si>
  <si>
    <t>C ARM</t>
  </si>
  <si>
    <t>S A</t>
  </si>
  <si>
    <t>José Maldonado</t>
  </si>
  <si>
    <t>Samuel Kettley*~</t>
  </si>
  <si>
    <t>Carlos Rivera*~</t>
  </si>
  <si>
    <t>A S</t>
  </si>
  <si>
    <t>Est. Player Exp</t>
  </si>
  <si>
    <t>Est. Staff Exp</t>
  </si>
  <si>
    <t>Est. Income</t>
  </si>
  <si>
    <t>Est. Loss</t>
  </si>
  <si>
    <t>Est. Profit</t>
  </si>
  <si>
    <t>Record Needed for X Wins</t>
  </si>
  <si>
    <t>Updated</t>
  </si>
  <si>
    <t>Need Pct</t>
  </si>
  <si>
    <t>Final Pct</t>
  </si>
  <si>
    <t>Resulting Wins</t>
  </si>
  <si>
    <t>If We Played</t>
  </si>
  <si>
    <t>Change</t>
  </si>
  <si>
    <t>Raw</t>
  </si>
  <si>
    <t>Luis Gusmán</t>
  </si>
  <si>
    <t>Top Under 26</t>
  </si>
  <si>
    <t>Pat Nash</t>
  </si>
  <si>
    <t>Tom Thomas</t>
  </si>
  <si>
    <t>Moon-suk Chang</t>
  </si>
  <si>
    <t>Manny Villarreal</t>
  </si>
  <si>
    <t>Neutral</t>
  </si>
  <si>
    <t>Rem W-L</t>
  </si>
  <si>
    <t>Est. Budget Diff</t>
  </si>
  <si>
    <t>Power hitting 1B/DH</t>
  </si>
  <si>
    <t>Strong CF</t>
  </si>
  <si>
    <t>Lefty RP</t>
  </si>
  <si>
    <t>Ace SP</t>
  </si>
  <si>
    <t>High Draft Picks</t>
  </si>
  <si>
    <t>2015 Shopping List</t>
  </si>
  <si>
    <t>Rng/Arm</t>
  </si>
  <si>
    <t>Current Starters (Con&gt;6, Pow+Eye+DefDiff&gt;12)</t>
  </si>
  <si>
    <t>Current Backups (Con&gt;5, Pow+Eye+DefDiff&gt;8)</t>
  </si>
  <si>
    <t>Potential Starters (Con&gt;6, Pow+Eye+DefDiff&gt;12)</t>
  </si>
  <si>
    <t>Potential Backups (Con&gt;5, Pow+Eye+DefDiff&gt;8)</t>
  </si>
  <si>
    <t>Current Starters (Stuff+Mvmt+Con&gt;18)</t>
  </si>
  <si>
    <t>Sta Req</t>
  </si>
  <si>
    <t>Rng&gt;4</t>
  </si>
  <si>
    <t>S+M+C</t>
  </si>
  <si>
    <t>pS+M+C</t>
  </si>
  <si>
    <t>Potential Starters (Stuff+Mvmt+Con&gt;18)</t>
  </si>
  <si>
    <t>Current Backups (Stuff+Mvmt+Con&gt;15)</t>
  </si>
  <si>
    <t>Potential Backups (Stuff+Mvmt+Con&gt;15)</t>
  </si>
  <si>
    <t>C rat/pot</t>
  </si>
  <si>
    <t>G rat/pot</t>
  </si>
  <si>
    <t>P rat-pot</t>
  </si>
  <si>
    <t>E rat/pot</t>
  </si>
  <si>
    <t>K rat/pot</t>
  </si>
  <si>
    <t>Diff</t>
  </si>
  <si>
    <t>S rat/pot</t>
  </si>
  <si>
    <t>M rat/pot</t>
  </si>
  <si>
    <t>PC</t>
  </si>
  <si>
    <t>PSP</t>
  </si>
  <si>
    <t>NH</t>
  </si>
  <si>
    <t>CRG</t>
  </si>
  <si>
    <t>Tm</t>
  </si>
  <si>
    <t>Orlando Gonzáles</t>
  </si>
  <si>
    <t>pCPE</t>
  </si>
  <si>
    <t>pCP</t>
  </si>
  <si>
    <t>pCE</t>
  </si>
  <si>
    <t>Jimmy Lord*~</t>
  </si>
  <si>
    <t>% Home Games Played</t>
  </si>
  <si>
    <t>John Martin</t>
  </si>
  <si>
    <t>Adrián Lozano</t>
  </si>
  <si>
    <t>Roberto Cisneros</t>
  </si>
  <si>
    <t>Brandon Childers</t>
  </si>
  <si>
    <t>Pedro Santiago</t>
  </si>
  <si>
    <t>Eric Jacobs</t>
  </si>
  <si>
    <t>Clyde Braun</t>
  </si>
  <si>
    <t>Joey Robinson</t>
  </si>
  <si>
    <t>Roger Quinn</t>
  </si>
  <si>
    <t>Derek Pruitt</t>
  </si>
  <si>
    <t>Gerardo Chapa</t>
  </si>
  <si>
    <t>José Escobar</t>
  </si>
  <si>
    <t>Reese Wilson</t>
  </si>
  <si>
    <t>Rafael García</t>
  </si>
  <si>
    <t>Adam Bishop</t>
  </si>
  <si>
    <t>César Collazo</t>
  </si>
  <si>
    <t>Rafael Quintero</t>
  </si>
  <si>
    <t>Juan Meléndez</t>
  </si>
  <si>
    <t>Cash Remaining</t>
  </si>
  <si>
    <t>Stan Thornton</t>
  </si>
  <si>
    <t>Jorge García</t>
  </si>
  <si>
    <t>99-101 Mph</t>
  </si>
  <si>
    <t>Robert Ayers</t>
  </si>
  <si>
    <t>José Aguilar</t>
  </si>
  <si>
    <t>Jason Rose</t>
  </si>
  <si>
    <t>Resulting Player Payroll</t>
  </si>
  <si>
    <t>Committed Payroll</t>
  </si>
  <si>
    <t>Russell Wright</t>
  </si>
  <si>
    <t>Randolph Teague</t>
  </si>
  <si>
    <t>Off the Books</t>
  </si>
  <si>
    <t>Mike Pugh</t>
  </si>
  <si>
    <t>82-84 Mph</t>
  </si>
  <si>
    <t>Jesús Rangel</t>
  </si>
  <si>
    <t>Diego Rúbio</t>
  </si>
  <si>
    <t>Keith Hart</t>
  </si>
  <si>
    <t>António Gallardo</t>
  </si>
  <si>
    <t>Spencer McGrath</t>
  </si>
  <si>
    <t>Denny Wolf</t>
  </si>
  <si>
    <t>Bruno Reed</t>
  </si>
  <si>
    <t>Allen Baden</t>
  </si>
  <si>
    <t>Francisco Martínez</t>
  </si>
  <si>
    <t>Conrad Shelton*~</t>
  </si>
  <si>
    <t>Net Totals</t>
  </si>
  <si>
    <t>Truman Burke</t>
  </si>
  <si>
    <t>Monte Marsh</t>
  </si>
  <si>
    <t>Eddie Gunn</t>
  </si>
  <si>
    <t>Luis Gusmán*~</t>
  </si>
  <si>
    <t>Randolph Teague*~</t>
  </si>
  <si>
    <t>Guaranteed</t>
  </si>
  <si>
    <t>John Becker</t>
  </si>
  <si>
    <t>Juan Trinidad</t>
  </si>
  <si>
    <t>José Aranda</t>
  </si>
  <si>
    <t>Eddy Montgomery</t>
  </si>
  <si>
    <t>98-100 Mph</t>
  </si>
  <si>
    <t>Gary Norwood</t>
  </si>
  <si>
    <t>Lorenzo Portillo</t>
  </si>
  <si>
    <t>Tokimune Yamamoto</t>
  </si>
  <si>
    <t>Greg Smith</t>
  </si>
  <si>
    <t>Joe Ray</t>
  </si>
  <si>
    <t>Mike Harris</t>
  </si>
  <si>
    <t>Est Arr</t>
  </si>
  <si>
    <t>Ray Gilbert</t>
  </si>
  <si>
    <t>Joe Kennedy</t>
  </si>
  <si>
    <t>Flynn Scott</t>
  </si>
  <si>
    <t>José Alonso</t>
  </si>
  <si>
    <t>Jaime Cabrera</t>
  </si>
  <si>
    <t>Emílio López</t>
  </si>
  <si>
    <t>Yovhannes Pahlevanian</t>
  </si>
  <si>
    <t>Jesús Santos</t>
  </si>
  <si>
    <t>Juan Trinidad*~</t>
  </si>
  <si>
    <t>Starting Base</t>
  </si>
  <si>
    <t>Slot Priority</t>
  </si>
  <si>
    <t>High OBP, Low SLG</t>
  </si>
  <si>
    <t>Best All Around Hitter</t>
  </si>
  <si>
    <t>Next best hitter OBP, GAP</t>
  </si>
  <si>
    <t>Best hitter with HR power</t>
  </si>
  <si>
    <t>Best hitter after other 4</t>
  </si>
  <si>
    <t>Worst Hitter</t>
  </si>
  <si>
    <t>Next best hitter with SB</t>
  </si>
  <si>
    <t>Next best hitter</t>
  </si>
  <si>
    <t>2nd Worst Hitter</t>
  </si>
  <si>
    <t>Alberto Flores*~</t>
  </si>
  <si>
    <t>En-Guo Guao</t>
  </si>
  <si>
    <t>John Howe</t>
  </si>
  <si>
    <t>Pepe Ríos</t>
  </si>
  <si>
    <t>Lyle Smith</t>
  </si>
  <si>
    <t>Salvador González</t>
  </si>
  <si>
    <t>Mark Lord</t>
  </si>
  <si>
    <t>Stan Scott</t>
  </si>
  <si>
    <t>Wayne McConnell</t>
  </si>
  <si>
    <t>Joe Benton</t>
  </si>
  <si>
    <t>Keith Watson</t>
  </si>
  <si>
    <t>Matt Nielsen</t>
  </si>
  <si>
    <t>Ben Truscott</t>
  </si>
  <si>
    <t>David Sánchez</t>
  </si>
  <si>
    <t>Michael Singleton</t>
  </si>
  <si>
    <t>Juan Álvarez</t>
  </si>
  <si>
    <t>Larry Chaney</t>
  </si>
  <si>
    <t>Clark Snow</t>
  </si>
  <si>
    <t>Greg Lange</t>
  </si>
  <si>
    <t>Dave Williams</t>
  </si>
  <si>
    <t>Starting Pitching</t>
  </si>
  <si>
    <t>Thirdbase</t>
  </si>
  <si>
    <t>2018 Shopping List</t>
  </si>
  <si>
    <t>Arrival</t>
  </si>
  <si>
    <t>Alberto Mendoza</t>
  </si>
  <si>
    <t>vs. RHP</t>
  </si>
  <si>
    <t>vs. LHP</t>
  </si>
  <si>
    <t>Nathan O'Reilly</t>
  </si>
  <si>
    <t>Luis Hernández</t>
  </si>
  <si>
    <t>Niccolo Arcimboldo</t>
  </si>
  <si>
    <t>John Martin, Ray Gilbert</t>
  </si>
  <si>
    <t>Martinez</t>
  </si>
  <si>
    <t>Watson</t>
  </si>
  <si>
    <t>Ron Knox</t>
  </si>
  <si>
    <t>Alfonso Caro</t>
  </si>
  <si>
    <t>Sakutaro Honma</t>
  </si>
  <si>
    <t>Pedro Álvarez</t>
  </si>
  <si>
    <t>Tze-meng Hsieh</t>
  </si>
  <si>
    <t>Miguel Canó</t>
  </si>
  <si>
    <t>Peter Clark</t>
  </si>
  <si>
    <t>Diego Rúbio*~</t>
  </si>
  <si>
    <t>Niccolo Arcimboldo*~</t>
  </si>
  <si>
    <t>Nathan O'Reilly*~</t>
  </si>
  <si>
    <t>Pedro Cruz</t>
  </si>
  <si>
    <t>86-88 Mph</t>
  </si>
  <si>
    <t>Júlio Montoya</t>
  </si>
  <si>
    <t>Alberto Mendoza*~</t>
  </si>
  <si>
    <t>Luis Hernández*~</t>
  </si>
  <si>
    <t>Gerardo Soto*~</t>
  </si>
  <si>
    <t>Yura Kajgaliev</t>
  </si>
  <si>
    <t>Donald Watkins</t>
  </si>
  <si>
    <t>Roberto Montaño</t>
  </si>
  <si>
    <t>Scouting Budget</t>
  </si>
  <si>
    <t>Draft Budget</t>
  </si>
  <si>
    <t>Ricardo Longoria</t>
  </si>
  <si>
    <t>Cedric King</t>
  </si>
  <si>
    <t>Domingo Rojas</t>
  </si>
  <si>
    <t>Brad Wyman</t>
  </si>
  <si>
    <t>David Gutiérrez</t>
  </si>
  <si>
    <t>David Gutiérrez*~</t>
  </si>
  <si>
    <t>Russell Wright*~</t>
  </si>
  <si>
    <t>John Klinger</t>
  </si>
  <si>
    <t>Sherwood Alldritt</t>
  </si>
  <si>
    <t>Stan Phillips</t>
  </si>
  <si>
    <t>Pablo Padilla</t>
  </si>
  <si>
    <t>Jesús López</t>
  </si>
  <si>
    <t>Bartolo Esquivel</t>
  </si>
  <si>
    <t>Dan Boorman</t>
  </si>
  <si>
    <t>Thad Taylor</t>
  </si>
  <si>
    <t>Chris Longworth</t>
  </si>
  <si>
    <t>Rick Saunders</t>
  </si>
  <si>
    <t>Daniel Quillen</t>
  </si>
  <si>
    <t>Ted Sepkiechler</t>
  </si>
  <si>
    <t>Álex Ramos</t>
  </si>
  <si>
    <t>80-83 Mph</t>
  </si>
  <si>
    <t>Rat Score</t>
  </si>
  <si>
    <t>Up</t>
  </si>
  <si>
    <t>Dn</t>
  </si>
  <si>
    <t>Batter:</t>
  </si>
  <si>
    <t>Pitcher:</t>
  </si>
  <si>
    <t>Eric Jacobs?</t>
  </si>
  <si>
    <t>??</t>
  </si>
  <si>
    <t>Jesús Santos*~</t>
  </si>
  <si>
    <t>Dep</t>
  </si>
  <si>
    <t>3 yrs, 119 days</t>
  </si>
  <si>
    <t>7 yrs, 103 days</t>
  </si>
  <si>
    <t>5 yrs, 0 days</t>
  </si>
  <si>
    <t>3 yrs, 144 days</t>
  </si>
  <si>
    <t>2 yrs, 159 days</t>
  </si>
  <si>
    <t>6 yrs, 0 days</t>
  </si>
  <si>
    <t>1 yrs, 0 days</t>
  </si>
  <si>
    <t>3 yrs, 8 days</t>
  </si>
  <si>
    <t>Donald Mays*~</t>
  </si>
  <si>
    <t>3 yrs, 0 days</t>
  </si>
  <si>
    <t>2 yrs, 0 days</t>
  </si>
  <si>
    <t>Adrián Lozano*~</t>
  </si>
  <si>
    <t>José Aranda*~</t>
  </si>
  <si>
    <t>Dave Wells*~</t>
  </si>
  <si>
    <t>1 yrs, 92 days</t>
  </si>
  <si>
    <t>John Martin*~</t>
  </si>
  <si>
    <t>2 yrs, 112 days</t>
  </si>
  <si>
    <t>John Becker*~</t>
  </si>
  <si>
    <t>Jesús Rangel*~</t>
  </si>
  <si>
    <t>3 yrs, 133 days</t>
  </si>
  <si>
    <t>1 yrs, 123 days</t>
  </si>
  <si>
    <t>Ronald Lowry*~</t>
  </si>
  <si>
    <t>2 yrs, 32 days</t>
  </si>
  <si>
    <t>0 yrs, 91 days</t>
  </si>
  <si>
    <t>0 yrs, 147 days</t>
  </si>
  <si>
    <t>0 yrs, 169 days</t>
  </si>
  <si>
    <t>1 yrs, 32 days</t>
  </si>
  <si>
    <t>0 yrs, 37 days</t>
  </si>
  <si>
    <t>2 yrs, 71 days</t>
  </si>
  <si>
    <t>0 yrs, 86 days</t>
  </si>
  <si>
    <t>1 yrs, 103 days</t>
  </si>
  <si>
    <t>Keep</t>
  </si>
  <si>
    <t>Upg</t>
  </si>
  <si>
    <r>
      <t>$7,260,000</t>
    </r>
    <r>
      <rPr>
        <vertAlign val="superscript"/>
        <sz val="8"/>
        <color rgb="FF000000"/>
        <rFont val="Verdana"/>
        <family val="2"/>
      </rPr>
      <t>to</t>
    </r>
  </si>
  <si>
    <t>Upgrade at SP</t>
  </si>
  <si>
    <t>Slugger 1B/DH</t>
  </si>
  <si>
    <t>Slugger for COF</t>
  </si>
  <si>
    <t>Bullpen Arm</t>
  </si>
  <si>
    <t>Upgrade 3B</t>
  </si>
  <si>
    <t>Harmon!</t>
  </si>
  <si>
    <t>Edwards!</t>
  </si>
  <si>
    <t>Center Fielder</t>
  </si>
  <si>
    <t>Catcher</t>
  </si>
  <si>
    <t>Allen, Longoria, Murphy?</t>
  </si>
  <si>
    <t>Travis Johnstone</t>
  </si>
  <si>
    <t>Evan Snyder</t>
  </si>
  <si>
    <t>Alan Bradshaw</t>
  </si>
  <si>
    <t>84-86 Mph</t>
  </si>
  <si>
    <t>En-guo Guao</t>
  </si>
  <si>
    <t>Development Budget</t>
  </si>
  <si>
    <t>Nick Rose</t>
  </si>
  <si>
    <t>Optional</t>
  </si>
  <si>
    <t>Hold out for later in offseason if price comes down</t>
  </si>
  <si>
    <t>Free agent</t>
  </si>
  <si>
    <t>Ronald Harmon</t>
  </si>
  <si>
    <t>Jorge Román</t>
  </si>
  <si>
    <t>Andy Hood</t>
  </si>
  <si>
    <t>Could be had on a short term deal</t>
  </si>
  <si>
    <t>Al Edwards</t>
  </si>
  <si>
    <t>Jeff Wilson</t>
  </si>
  <si>
    <t>Only on a very cheap 1 year deal</t>
  </si>
  <si>
    <t>Bring back if better options don't work out.</t>
  </si>
  <si>
    <t>Samuel Reed</t>
  </si>
  <si>
    <t>MLC!</t>
  </si>
  <si>
    <t>Artie Tillman</t>
  </si>
  <si>
    <t>Wait till later in offseason</t>
  </si>
  <si>
    <t>Jose Hale</t>
  </si>
  <si>
    <t>Darryl Lewis</t>
  </si>
  <si>
    <t>Guao!</t>
  </si>
  <si>
    <t>Upgrade 2B</t>
  </si>
  <si>
    <t>Suarez, Rose?</t>
  </si>
  <si>
    <t>Geldert?</t>
  </si>
  <si>
    <t>Try nab him!</t>
  </si>
  <si>
    <t>7 yrs, 0 days</t>
  </si>
  <si>
    <r>
      <t>$30,000,000</t>
    </r>
    <r>
      <rPr>
        <vertAlign val="superscript"/>
        <sz val="8"/>
        <color rgb="FF000000"/>
        <rFont val="Verdana"/>
        <family val="2"/>
      </rPr>
      <t>to</t>
    </r>
  </si>
  <si>
    <t>6 yrs, 42 days</t>
  </si>
  <si>
    <r>
      <t>$11,500,000</t>
    </r>
    <r>
      <rPr>
        <vertAlign val="superscript"/>
        <sz val="8"/>
        <color rgb="FF000000"/>
        <rFont val="Verdana"/>
        <family val="2"/>
      </rPr>
      <t>to</t>
    </r>
  </si>
  <si>
    <t>Ray Gilbert~</t>
  </si>
  <si>
    <t>Jim Griffin~</t>
  </si>
  <si>
    <t>Will Young*~</t>
  </si>
  <si>
    <t>Hugh Watson~</t>
  </si>
  <si>
    <t>Martin Smith~</t>
  </si>
  <si>
    <t> 1) Ronald Harmon</t>
  </si>
  <si>
    <t> 2) Ronald Lowry</t>
  </si>
  <si>
    <t> 3) Carlos Rivera</t>
  </si>
  <si>
    <t> 4) En-guo Guao</t>
  </si>
  <si>
    <t> 5) Russell Wright</t>
  </si>
  <si>
    <t>Anthony Hough</t>
  </si>
  <si>
    <t>NJ</t>
  </si>
  <si>
    <t>Jason Corbett</t>
  </si>
  <si>
    <t>Bobby Watson</t>
  </si>
  <si>
    <t>Arbtration</t>
  </si>
  <si>
    <t>MAN</t>
  </si>
  <si>
    <t>John Martin, Pepe Rios</t>
  </si>
  <si>
    <t>Mike Harris, Brandon Childers, Sherwood Alldritt</t>
  </si>
  <si>
    <t>Esquivel</t>
  </si>
  <si>
    <t>Rivera, Gusman, Soto, Arcimboldo, Becker</t>
  </si>
  <si>
    <t>Young, Mays, Marsh, Nielsen</t>
  </si>
  <si>
    <t>Burke</t>
  </si>
  <si>
    <t>Corbett!</t>
  </si>
  <si>
    <t>Jason Corbett*~</t>
  </si>
  <si>
    <t>5 yrs, 36 days</t>
  </si>
</sst>
</file>

<file path=xl/styles.xml><?xml version="1.0" encoding="utf-8"?>
<styleSheet xmlns="http://schemas.openxmlformats.org/spreadsheetml/2006/main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&quot;$&quot;* #,##0_);_(&quot;$&quot;* \(#,##0\);_(&quot;$&quot;* &quot;-&quot;??_);_(@_)"/>
    <numFmt numFmtId="166" formatCode="0.000"/>
    <numFmt numFmtId="167" formatCode="0.0%"/>
    <numFmt numFmtId="168" formatCode="_(* #,##0_);_(* \(#,##0\);_(* &quot;-&quot;??_);_(@_)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sz val="8"/>
      <color rgb="FF000000"/>
      <name val="Verdana"/>
      <family val="2"/>
    </font>
    <font>
      <b/>
      <sz val="8"/>
      <color rgb="FF000000"/>
      <name val="Verdana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rgb="FFFFFFFF"/>
      <name val="Verdana"/>
      <family val="2"/>
    </font>
    <font>
      <b/>
      <sz val="8"/>
      <color rgb="FF02CC49"/>
      <name val="Verdana"/>
      <family val="2"/>
    </font>
    <font>
      <b/>
      <sz val="10"/>
      <color rgb="FF02CC49"/>
      <name val="Arial"/>
      <family val="2"/>
    </font>
    <font>
      <b/>
      <sz val="10"/>
      <color rgb="FFFF0000"/>
      <name val="Arial"/>
      <family val="2"/>
    </font>
    <font>
      <sz val="10"/>
      <color rgb="FFFAFAFA"/>
      <name val="Arial"/>
      <family val="2"/>
    </font>
    <font>
      <vertAlign val="superscript"/>
      <sz val="8"/>
      <color rgb="FF000000"/>
      <name val="Verdana"/>
      <family val="2"/>
    </font>
    <font>
      <strike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3E3E3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34998626667073579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999999"/>
      </left>
      <right/>
      <top style="medium">
        <color rgb="FF999999"/>
      </top>
      <bottom/>
      <diagonal/>
    </border>
    <border>
      <left/>
      <right style="medium">
        <color rgb="FF999999"/>
      </right>
      <top style="medium">
        <color rgb="FF999999"/>
      </top>
      <bottom/>
      <diagonal/>
    </border>
    <border>
      <left style="medium">
        <color rgb="FF999999"/>
      </left>
      <right/>
      <top/>
      <bottom/>
      <diagonal/>
    </border>
    <border>
      <left/>
      <right style="medium">
        <color rgb="FF999999"/>
      </right>
      <top/>
      <bottom/>
      <diagonal/>
    </border>
    <border>
      <left style="medium">
        <color rgb="FF999999"/>
      </left>
      <right/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 style="medium">
        <color rgb="FF999999"/>
      </left>
      <right style="medium">
        <color rgb="FF999999"/>
      </right>
      <top/>
      <bottom/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/>
      <top style="medium">
        <color rgb="FF999999"/>
      </top>
      <bottom/>
      <diagonal/>
    </border>
    <border>
      <left/>
      <right/>
      <top/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medium">
        <color indexed="64"/>
      </top>
      <bottom/>
      <diagonal/>
    </border>
    <border>
      <left style="medium">
        <color rgb="FF999999"/>
      </left>
      <right style="medium">
        <color rgb="FF999999"/>
      </right>
      <top/>
      <bottom style="medium">
        <color indexed="64"/>
      </bottom>
      <diagonal/>
    </border>
    <border>
      <left style="medium">
        <color rgb="FF999999"/>
      </left>
      <right/>
      <top style="medium">
        <color rgb="FF999999"/>
      </top>
      <bottom style="medium">
        <color rgb="FF999999"/>
      </bottom>
      <diagonal/>
    </border>
    <border>
      <left/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54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 applyBorder="1"/>
    <xf numFmtId="0" fontId="0" fillId="0" borderId="0" xfId="0" applyBorder="1"/>
    <xf numFmtId="2" fontId="0" fillId="0" borderId="0" xfId="0" applyNumberFormat="1"/>
    <xf numFmtId="1" fontId="0" fillId="0" borderId="0" xfId="0" applyNumberFormat="1"/>
    <xf numFmtId="2" fontId="0" fillId="0" borderId="1" xfId="0" applyNumberFormat="1" applyBorder="1"/>
    <xf numFmtId="2" fontId="0" fillId="0" borderId="0" xfId="0" applyNumberFormat="1" applyBorder="1"/>
    <xf numFmtId="6" fontId="0" fillId="0" borderId="0" xfId="0" applyNumberFormat="1"/>
    <xf numFmtId="9" fontId="0" fillId="0" borderId="1" xfId="0" applyNumberFormat="1" applyBorder="1"/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right" wrapText="1"/>
    </xf>
    <xf numFmtId="0" fontId="5" fillId="2" borderId="2" xfId="1" applyFill="1" applyBorder="1" applyAlignment="1" applyProtection="1">
      <alignment horizontal="left" wrapText="1"/>
    </xf>
    <xf numFmtId="0" fontId="3" fillId="2" borderId="2" xfId="0" applyFont="1" applyFill="1" applyBorder="1" applyAlignment="1">
      <alignment horizontal="right" wrapText="1"/>
    </xf>
    <xf numFmtId="6" fontId="3" fillId="2" borderId="2" xfId="0" applyNumberFormat="1" applyFont="1" applyFill="1" applyBorder="1" applyAlignment="1">
      <alignment horizontal="right" wrapText="1"/>
    </xf>
    <xf numFmtId="0" fontId="5" fillId="3" borderId="2" xfId="1" applyFill="1" applyBorder="1" applyAlignment="1" applyProtection="1">
      <alignment horizontal="left" wrapText="1"/>
    </xf>
    <xf numFmtId="0" fontId="3" fillId="3" borderId="2" xfId="0" applyFont="1" applyFill="1" applyBorder="1" applyAlignment="1">
      <alignment horizontal="right" wrapText="1"/>
    </xf>
    <xf numFmtId="6" fontId="3" fillId="3" borderId="2" xfId="0" applyNumberFormat="1" applyFont="1" applyFill="1" applyBorder="1" applyAlignment="1">
      <alignment horizontal="right" wrapText="1"/>
    </xf>
    <xf numFmtId="6" fontId="4" fillId="0" borderId="2" xfId="0" applyNumberFormat="1" applyFont="1" applyBorder="1" applyAlignment="1">
      <alignment horizontal="right" wrapText="1"/>
    </xf>
    <xf numFmtId="0" fontId="1" fillId="0" borderId="6" xfId="0" applyFont="1" applyBorder="1"/>
    <xf numFmtId="0" fontId="0" fillId="0" borderId="6" xfId="0" applyBorder="1"/>
    <xf numFmtId="6" fontId="0" fillId="0" borderId="6" xfId="0" applyNumberFormat="1" applyBorder="1"/>
    <xf numFmtId="0" fontId="1" fillId="0" borderId="0" xfId="0" applyFont="1" applyAlignment="1">
      <alignment textRotation="90"/>
    </xf>
    <xf numFmtId="0" fontId="1" fillId="0" borderId="0" xfId="0" applyFont="1" applyAlignment="1"/>
    <xf numFmtId="0" fontId="0" fillId="0" borderId="0" xfId="0" applyAlignment="1"/>
    <xf numFmtId="0" fontId="10" fillId="0" borderId="0" xfId="0" applyFont="1"/>
    <xf numFmtId="0" fontId="10" fillId="0" borderId="1" xfId="0" applyFont="1" applyBorder="1"/>
    <xf numFmtId="2" fontId="10" fillId="0" borderId="0" xfId="0" applyNumberFormat="1" applyFont="1"/>
    <xf numFmtId="2" fontId="10" fillId="0" borderId="0" xfId="0" applyNumberFormat="1" applyFont="1" applyBorder="1"/>
    <xf numFmtId="1" fontId="10" fillId="0" borderId="0" xfId="0" applyNumberFormat="1" applyFont="1"/>
    <xf numFmtId="0" fontId="1" fillId="0" borderId="8" xfId="0" applyFont="1" applyBorder="1"/>
    <xf numFmtId="0" fontId="0" fillId="0" borderId="9" xfId="0" applyBorder="1" applyAlignment="1"/>
    <xf numFmtId="0" fontId="0" fillId="0" borderId="9" xfId="0" applyBorder="1"/>
    <xf numFmtId="0" fontId="0" fillId="0" borderId="10" xfId="0" applyBorder="1" applyAlignment="1"/>
    <xf numFmtId="0" fontId="1" fillId="0" borderId="11" xfId="0" applyFont="1" applyBorder="1"/>
    <xf numFmtId="0" fontId="0" fillId="0" borderId="0" xfId="0" applyBorder="1" applyAlignment="1"/>
    <xf numFmtId="0" fontId="0" fillId="0" borderId="1" xfId="0" applyBorder="1" applyAlignment="1"/>
    <xf numFmtId="0" fontId="1" fillId="0" borderId="12" xfId="0" applyFont="1" applyBorder="1"/>
    <xf numFmtId="0" fontId="0" fillId="0" borderId="13" xfId="0" applyBorder="1" applyAlignment="1"/>
    <xf numFmtId="0" fontId="0" fillId="0" borderId="13" xfId="0" applyBorder="1"/>
    <xf numFmtId="0" fontId="0" fillId="0" borderId="14" xfId="0" applyBorder="1" applyAlignment="1"/>
    <xf numFmtId="0" fontId="1" fillId="0" borderId="15" xfId="0" applyFont="1" applyBorder="1"/>
    <xf numFmtId="0" fontId="1" fillId="0" borderId="6" xfId="0" applyFont="1" applyBorder="1" applyAlignment="1"/>
    <xf numFmtId="0" fontId="9" fillId="0" borderId="6" xfId="0" applyFont="1" applyBorder="1" applyAlignment="1">
      <alignment textRotation="90"/>
    </xf>
    <xf numFmtId="0" fontId="8" fillId="0" borderId="6" xfId="0" applyFont="1" applyBorder="1" applyAlignment="1">
      <alignment textRotation="90"/>
    </xf>
    <xf numFmtId="0" fontId="11" fillId="0" borderId="6" xfId="0" applyFont="1" applyBorder="1" applyAlignment="1">
      <alignment textRotation="90"/>
    </xf>
    <xf numFmtId="0" fontId="1" fillId="0" borderId="6" xfId="0" applyFont="1" applyBorder="1" applyAlignment="1">
      <alignment textRotation="90"/>
    </xf>
    <xf numFmtId="0" fontId="1" fillId="0" borderId="16" xfId="0" applyFont="1" applyBorder="1" applyAlignment="1">
      <alignment textRotation="90"/>
    </xf>
    <xf numFmtId="0" fontId="1" fillId="0" borderId="16" xfId="0" applyFont="1" applyBorder="1" applyAlignment="1"/>
    <xf numFmtId="0" fontId="9" fillId="0" borderId="15" xfId="0" applyFont="1" applyBorder="1" applyAlignment="1">
      <alignment textRotation="90"/>
    </xf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11" fillId="0" borderId="15" xfId="0" applyFont="1" applyBorder="1" applyAlignment="1">
      <alignment textRotation="90"/>
    </xf>
    <xf numFmtId="0" fontId="11" fillId="0" borderId="16" xfId="0" applyFont="1" applyBorder="1" applyAlignment="1">
      <alignment textRotation="90"/>
    </xf>
    <xf numFmtId="0" fontId="0" fillId="0" borderId="8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9" fillId="0" borderId="16" xfId="0" applyFont="1" applyBorder="1" applyAlignment="1">
      <alignment textRotation="90"/>
    </xf>
    <xf numFmtId="0" fontId="0" fillId="0" borderId="10" xfId="0" applyBorder="1"/>
    <xf numFmtId="0" fontId="0" fillId="0" borderId="14" xfId="0" applyBorder="1"/>
    <xf numFmtId="0" fontId="1" fillId="0" borderId="15" xfId="0" applyFont="1" applyBorder="1" applyAlignment="1">
      <alignment textRotation="90"/>
    </xf>
    <xf numFmtId="0" fontId="8" fillId="0" borderId="15" xfId="0" applyFont="1" applyBorder="1" applyAlignment="1">
      <alignment textRotation="90"/>
    </xf>
    <xf numFmtId="0" fontId="0" fillId="0" borderId="0" xfId="0" applyFill="1" applyBorder="1" applyAlignment="1"/>
    <xf numFmtId="0" fontId="1" fillId="0" borderId="7" xfId="0" applyFont="1" applyBorder="1" applyAlignment="1">
      <alignment textRotation="90"/>
    </xf>
    <xf numFmtId="2" fontId="0" fillId="0" borderId="17" xfId="0" applyNumberFormat="1" applyBorder="1"/>
    <xf numFmtId="2" fontId="0" fillId="0" borderId="18" xfId="0" applyNumberFormat="1" applyBorder="1"/>
    <xf numFmtId="2" fontId="0" fillId="0" borderId="14" xfId="0" applyNumberFormat="1" applyBorder="1"/>
    <xf numFmtId="0" fontId="1" fillId="0" borderId="16" xfId="0" applyFont="1" applyBorder="1"/>
    <xf numFmtId="0" fontId="10" fillId="0" borderId="11" xfId="0" applyFont="1" applyBorder="1"/>
    <xf numFmtId="0" fontId="10" fillId="0" borderId="0" xfId="0" applyFont="1" applyBorder="1"/>
    <xf numFmtId="0" fontId="1" fillId="0" borderId="0" xfId="0" applyFont="1" applyBorder="1" applyAlignment="1"/>
    <xf numFmtId="0" fontId="11" fillId="0" borderId="6" xfId="0" applyFont="1" applyFill="1" applyBorder="1" applyAlignment="1">
      <alignment textRotation="90"/>
    </xf>
    <xf numFmtId="0" fontId="11" fillId="0" borderId="16" xfId="0" applyFont="1" applyFill="1" applyBorder="1" applyAlignment="1">
      <alignment textRotation="90"/>
    </xf>
    <xf numFmtId="0" fontId="11" fillId="0" borderId="7" xfId="0" applyFont="1" applyBorder="1" applyAlignment="1">
      <alignment textRotation="90"/>
    </xf>
    <xf numFmtId="0" fontId="0" fillId="0" borderId="17" xfId="0" applyBorder="1"/>
    <xf numFmtId="0" fontId="0" fillId="0" borderId="18" xfId="0" applyBorder="1"/>
    <xf numFmtId="0" fontId="11" fillId="0" borderId="15" xfId="0" applyFont="1" applyFill="1" applyBorder="1" applyAlignment="1">
      <alignment textRotation="90"/>
    </xf>
    <xf numFmtId="9" fontId="0" fillId="0" borderId="1" xfId="3" applyFont="1" applyBorder="1"/>
    <xf numFmtId="9" fontId="0" fillId="0" borderId="14" xfId="3" applyFont="1" applyBorder="1"/>
    <xf numFmtId="9" fontId="10" fillId="0" borderId="1" xfId="0" applyNumberFormat="1" applyFont="1" applyBorder="1"/>
    <xf numFmtId="164" fontId="0" fillId="0" borderId="0" xfId="0" applyNumberFormat="1" applyBorder="1"/>
    <xf numFmtId="1" fontId="0" fillId="0" borderId="0" xfId="0" applyNumberFormat="1" applyBorder="1"/>
    <xf numFmtId="165" fontId="0" fillId="0" borderId="0" xfId="2" applyNumberFormat="1" applyFont="1"/>
    <xf numFmtId="165" fontId="10" fillId="0" borderId="0" xfId="2" applyNumberFormat="1" applyFont="1"/>
    <xf numFmtId="0" fontId="1" fillId="0" borderId="7" xfId="0" applyFont="1" applyBorder="1"/>
    <xf numFmtId="0" fontId="1" fillId="5" borderId="7" xfId="0" applyFont="1" applyFill="1" applyBorder="1"/>
    <xf numFmtId="0" fontId="0" fillId="5" borderId="17" xfId="0" applyFill="1" applyBorder="1"/>
    <xf numFmtId="0" fontId="0" fillId="5" borderId="18" xfId="0" applyFill="1" applyBorder="1"/>
    <xf numFmtId="0" fontId="0" fillId="0" borderId="0" xfId="0" applyFill="1"/>
    <xf numFmtId="165" fontId="0" fillId="0" borderId="0" xfId="2" applyNumberFormat="1" applyFont="1" applyFill="1"/>
    <xf numFmtId="2" fontId="0" fillId="0" borderId="0" xfId="0" applyNumberFormat="1" applyFill="1"/>
    <xf numFmtId="2" fontId="0" fillId="0" borderId="0" xfId="0" applyNumberFormat="1" applyFill="1" applyBorder="1"/>
    <xf numFmtId="0" fontId="0" fillId="0" borderId="0" xfId="0" applyFill="1" applyBorder="1"/>
    <xf numFmtId="1" fontId="0" fillId="0" borderId="0" xfId="0" applyNumberFormat="1" applyFill="1"/>
    <xf numFmtId="9" fontId="0" fillId="0" borderId="0" xfId="3" applyFont="1"/>
    <xf numFmtId="0" fontId="0" fillId="0" borderId="19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18" xfId="0" applyBorder="1" applyAlignment="1">
      <alignment horizontal="right"/>
    </xf>
    <xf numFmtId="0" fontId="7" fillId="0" borderId="0" xfId="0" applyFont="1" applyFill="1"/>
    <xf numFmtId="0" fontId="1" fillId="0" borderId="0" xfId="0" applyFont="1" applyFill="1" applyBorder="1"/>
    <xf numFmtId="0" fontId="10" fillId="0" borderId="0" xfId="0" applyFont="1" applyFill="1"/>
    <xf numFmtId="9" fontId="0" fillId="0" borderId="0" xfId="3" applyFont="1" applyAlignment="1">
      <alignment horizontal="left"/>
    </xf>
    <xf numFmtId="1" fontId="10" fillId="0" borderId="0" xfId="0" applyNumberFormat="1" applyFont="1" applyBorder="1"/>
    <xf numFmtId="164" fontId="10" fillId="0" borderId="0" xfId="0" applyNumberFormat="1" applyFont="1" applyBorder="1"/>
    <xf numFmtId="0" fontId="10" fillId="0" borderId="0" xfId="0" applyFont="1" applyFill="1" applyBorder="1"/>
    <xf numFmtId="0" fontId="0" fillId="0" borderId="0" xfId="0" applyFont="1"/>
    <xf numFmtId="165" fontId="0" fillId="0" borderId="0" xfId="0" applyNumberFormat="1"/>
    <xf numFmtId="6" fontId="0" fillId="0" borderId="6" xfId="0" applyNumberFormat="1" applyFont="1" applyBorder="1"/>
    <xf numFmtId="0" fontId="11" fillId="0" borderId="0" xfId="0" applyFont="1" applyFill="1" applyBorder="1"/>
    <xf numFmtId="9" fontId="0" fillId="0" borderId="0" xfId="3" applyFont="1" applyBorder="1" applyAlignment="1">
      <alignment horizontal="left"/>
    </xf>
    <xf numFmtId="9" fontId="0" fillId="0" borderId="0" xfId="3" applyFont="1" applyBorder="1"/>
    <xf numFmtId="0" fontId="0" fillId="0" borderId="8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11" fillId="0" borderId="0" xfId="0" applyFont="1"/>
    <xf numFmtId="0" fontId="11" fillId="0" borderId="0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right" wrapText="1"/>
    </xf>
    <xf numFmtId="0" fontId="3" fillId="4" borderId="22" xfId="0" applyFont="1" applyFill="1" applyBorder="1" applyAlignment="1">
      <alignment horizontal="left" wrapText="1"/>
    </xf>
    <xf numFmtId="6" fontId="3" fillId="4" borderId="23" xfId="0" applyNumberFormat="1" applyFont="1" applyFill="1" applyBorder="1" applyAlignment="1">
      <alignment horizontal="right" wrapText="1"/>
    </xf>
    <xf numFmtId="6" fontId="3" fillId="2" borderId="23" xfId="0" applyNumberFormat="1" applyFont="1" applyFill="1" applyBorder="1" applyAlignment="1">
      <alignment horizontal="right" wrapText="1"/>
    </xf>
    <xf numFmtId="0" fontId="3" fillId="4" borderId="23" xfId="0" applyFont="1" applyFill="1" applyBorder="1" applyAlignment="1">
      <alignment horizontal="right" wrapText="1"/>
    </xf>
    <xf numFmtId="3" fontId="3" fillId="4" borderId="23" xfId="0" applyNumberFormat="1" applyFont="1" applyFill="1" applyBorder="1" applyAlignment="1">
      <alignment horizontal="right" wrapText="1"/>
    </xf>
    <xf numFmtId="3" fontId="3" fillId="2" borderId="23" xfId="0" applyNumberFormat="1" applyFont="1" applyFill="1" applyBorder="1" applyAlignment="1">
      <alignment horizontal="right" wrapText="1"/>
    </xf>
    <xf numFmtId="6" fontId="13" fillId="4" borderId="23" xfId="0" applyNumberFormat="1" applyFont="1" applyFill="1" applyBorder="1" applyAlignment="1">
      <alignment horizontal="right" wrapText="1"/>
    </xf>
    <xf numFmtId="0" fontId="3" fillId="2" borderId="24" xfId="0" applyFont="1" applyFill="1" applyBorder="1" applyAlignment="1">
      <alignment horizontal="left" wrapText="1"/>
    </xf>
    <xf numFmtId="6" fontId="13" fillId="2" borderId="25" xfId="0" applyNumberFormat="1" applyFont="1" applyFill="1" applyBorder="1" applyAlignment="1">
      <alignment horizontal="right" wrapText="1"/>
    </xf>
    <xf numFmtId="0" fontId="10" fillId="0" borderId="0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3" fillId="4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quotePrefix="1" applyFont="1" applyFill="1" applyBorder="1" applyAlignment="1">
      <alignment horizontal="left" wrapText="1"/>
    </xf>
    <xf numFmtId="0" fontId="0" fillId="0" borderId="26" xfId="0" applyBorder="1"/>
    <xf numFmtId="0" fontId="0" fillId="0" borderId="27" xfId="0" applyBorder="1"/>
    <xf numFmtId="166" fontId="0" fillId="0" borderId="27" xfId="0" applyNumberFormat="1" applyBorder="1"/>
    <xf numFmtId="0" fontId="0" fillId="0" borderId="22" xfId="0" applyBorder="1"/>
    <xf numFmtId="0" fontId="3" fillId="4" borderId="20" xfId="0" applyFont="1" applyFill="1" applyBorder="1" applyAlignment="1">
      <alignment horizontal="left" wrapText="1"/>
    </xf>
    <xf numFmtId="166" fontId="0" fillId="0" borderId="0" xfId="0" applyNumberFormat="1"/>
    <xf numFmtId="14" fontId="0" fillId="0" borderId="0" xfId="0" applyNumberFormat="1"/>
    <xf numFmtId="0" fontId="12" fillId="6" borderId="20" xfId="0" applyFont="1" applyFill="1" applyBorder="1" applyAlignment="1">
      <alignment wrapText="1"/>
    </xf>
    <xf numFmtId="0" fontId="12" fillId="6" borderId="0" xfId="0" applyFont="1" applyFill="1" applyBorder="1" applyAlignment="1">
      <alignment wrapText="1"/>
    </xf>
    <xf numFmtId="3" fontId="3" fillId="4" borderId="0" xfId="0" applyNumberFormat="1" applyFont="1" applyFill="1" applyBorder="1" applyAlignment="1">
      <alignment horizontal="right" wrapText="1"/>
    </xf>
    <xf numFmtId="3" fontId="3" fillId="2" borderId="0" xfId="0" applyNumberFormat="1" applyFont="1" applyFill="1" applyBorder="1" applyAlignment="1">
      <alignment horizontal="right" wrapText="1"/>
    </xf>
    <xf numFmtId="0" fontId="3" fillId="4" borderId="0" xfId="0" applyFont="1" applyFill="1" applyBorder="1" applyAlignment="1">
      <alignment horizontal="right" wrapText="1"/>
    </xf>
    <xf numFmtId="6" fontId="3" fillId="2" borderId="0" xfId="0" applyNumberFormat="1" applyFont="1" applyFill="1" applyBorder="1" applyAlignment="1">
      <alignment horizontal="right" wrapText="1"/>
    </xf>
    <xf numFmtId="6" fontId="3" fillId="4" borderId="0" xfId="0" applyNumberFormat="1" applyFont="1" applyFill="1" applyBorder="1" applyAlignment="1">
      <alignment horizontal="right" wrapText="1"/>
    </xf>
    <xf numFmtId="6" fontId="13" fillId="4" borderId="0" xfId="0" applyNumberFormat="1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6" fontId="13" fillId="2" borderId="30" xfId="0" applyNumberFormat="1" applyFont="1" applyFill="1" applyBorder="1" applyAlignment="1">
      <alignment horizontal="right" wrapText="1"/>
    </xf>
    <xf numFmtId="167" fontId="3" fillId="4" borderId="23" xfId="3" applyNumberFormat="1" applyFont="1" applyFill="1" applyBorder="1" applyAlignment="1">
      <alignment horizontal="right" wrapText="1"/>
    </xf>
    <xf numFmtId="167" fontId="3" fillId="2" borderId="23" xfId="3" applyNumberFormat="1" applyFont="1" applyFill="1" applyBorder="1" applyAlignment="1">
      <alignment horizontal="right" wrapText="1"/>
    </xf>
    <xf numFmtId="167" fontId="13" fillId="4" borderId="23" xfId="3" applyNumberFormat="1" applyFont="1" applyFill="1" applyBorder="1" applyAlignment="1">
      <alignment horizontal="right" wrapText="1"/>
    </xf>
    <xf numFmtId="167" fontId="13" fillId="2" borderId="25" xfId="3" applyNumberFormat="1" applyFont="1" applyFill="1" applyBorder="1" applyAlignment="1">
      <alignment horizontal="right" wrapText="1"/>
    </xf>
    <xf numFmtId="0" fontId="12" fillId="6" borderId="29" xfId="0" applyFont="1" applyFill="1" applyBorder="1" applyAlignment="1">
      <alignment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168" fontId="0" fillId="0" borderId="0" xfId="4" applyNumberFormat="1" applyFont="1"/>
    <xf numFmtId="0" fontId="0" fillId="0" borderId="20" xfId="0" applyBorder="1"/>
    <xf numFmtId="0" fontId="0" fillId="0" borderId="24" xfId="0" applyBorder="1"/>
    <xf numFmtId="0" fontId="3" fillId="4" borderId="29" xfId="0" applyFont="1" applyFill="1" applyBorder="1" applyAlignment="1">
      <alignment horizontal="left" wrapText="1"/>
    </xf>
    <xf numFmtId="44" fontId="0" fillId="0" borderId="21" xfId="2" applyFont="1" applyBorder="1"/>
    <xf numFmtId="0" fontId="0" fillId="0" borderId="23" xfId="0" applyBorder="1"/>
    <xf numFmtId="168" fontId="0" fillId="0" borderId="23" xfId="4" applyNumberFormat="1" applyFont="1" applyBorder="1"/>
    <xf numFmtId="165" fontId="0" fillId="0" borderId="23" xfId="2" applyNumberFormat="1" applyFont="1" applyBorder="1"/>
    <xf numFmtId="44" fontId="0" fillId="0" borderId="23" xfId="2" applyFont="1" applyBorder="1"/>
    <xf numFmtId="0" fontId="3" fillId="2" borderId="22" xfId="0" quotePrefix="1" applyFont="1" applyFill="1" applyBorder="1" applyAlignment="1">
      <alignment horizontal="left" wrapText="1"/>
    </xf>
    <xf numFmtId="165" fontId="0" fillId="0" borderId="25" xfId="2" applyNumberFormat="1" applyFont="1" applyBorder="1"/>
    <xf numFmtId="0" fontId="0" fillId="0" borderId="31" xfId="0" applyBorder="1"/>
    <xf numFmtId="0" fontId="0" fillId="0" borderId="32" xfId="0" applyBorder="1"/>
    <xf numFmtId="0" fontId="3" fillId="2" borderId="30" xfId="0" applyFont="1" applyFill="1" applyBorder="1" applyAlignment="1">
      <alignment horizontal="left" wrapText="1"/>
    </xf>
    <xf numFmtId="168" fontId="3" fillId="4" borderId="0" xfId="0" applyNumberFormat="1" applyFont="1" applyFill="1" applyBorder="1" applyAlignment="1">
      <alignment horizontal="right" wrapText="1"/>
    </xf>
    <xf numFmtId="8" fontId="3" fillId="4" borderId="0" xfId="0" applyNumberFormat="1" applyFont="1" applyFill="1" applyBorder="1" applyAlignment="1">
      <alignment horizontal="right" wrapText="1"/>
    </xf>
    <xf numFmtId="6" fontId="3" fillId="2" borderId="30" xfId="0" applyNumberFormat="1" applyFont="1" applyFill="1" applyBorder="1" applyAlignment="1">
      <alignment horizontal="right" wrapText="1"/>
    </xf>
    <xf numFmtId="167" fontId="3" fillId="2" borderId="25" xfId="3" applyNumberFormat="1" applyFont="1" applyFill="1" applyBorder="1" applyAlignment="1">
      <alignment horizontal="right" wrapText="1"/>
    </xf>
    <xf numFmtId="0" fontId="0" fillId="0" borderId="19" xfId="0" applyBorder="1"/>
    <xf numFmtId="0" fontId="10" fillId="0" borderId="1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left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7" xfId="0" applyFill="1" applyBorder="1" applyAlignment="1">
      <alignment horizontal="left"/>
    </xf>
    <xf numFmtId="0" fontId="0" fillId="0" borderId="0" xfId="0" applyBorder="1"/>
    <xf numFmtId="0" fontId="0" fillId="0" borderId="1" xfId="0" applyBorder="1"/>
    <xf numFmtId="0" fontId="0" fillId="0" borderId="0" xfId="0" applyBorder="1"/>
    <xf numFmtId="0" fontId="0" fillId="0" borderId="1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7" fontId="0" fillId="0" borderId="28" xfId="3" applyNumberFormat="1" applyFont="1" applyBorder="1"/>
    <xf numFmtId="0" fontId="0" fillId="0" borderId="1" xfId="0" applyBorder="1"/>
    <xf numFmtId="0" fontId="1" fillId="0" borderId="6" xfId="0" applyFont="1" applyBorder="1"/>
    <xf numFmtId="0" fontId="0" fillId="0" borderId="0" xfId="0" applyBorder="1"/>
    <xf numFmtId="0" fontId="0" fillId="0" borderId="1" xfId="0" applyBorder="1"/>
    <xf numFmtId="0" fontId="4" fillId="0" borderId="0" xfId="0" applyFont="1" applyBorder="1" applyAlignment="1">
      <alignment horizontal="left" wrapText="1"/>
    </xf>
    <xf numFmtId="6" fontId="4" fillId="0" borderId="0" xfId="0" applyNumberFormat="1" applyFont="1" applyBorder="1" applyAlignment="1">
      <alignment horizontal="right" wrapText="1"/>
    </xf>
    <xf numFmtId="0" fontId="0" fillId="8" borderId="0" xfId="0" applyFill="1"/>
    <xf numFmtId="165" fontId="0" fillId="8" borderId="0" xfId="2" applyNumberFormat="1" applyFont="1" applyFill="1"/>
    <xf numFmtId="6" fontId="0" fillId="8" borderId="0" xfId="0" applyNumberFormat="1" applyFill="1"/>
    <xf numFmtId="0" fontId="0" fillId="7" borderId="0" xfId="0" applyFill="1"/>
    <xf numFmtId="6" fontId="0" fillId="7" borderId="0" xfId="0" applyNumberFormat="1" applyFill="1"/>
    <xf numFmtId="165" fontId="0" fillId="7" borderId="0" xfId="2" applyNumberFormat="1" applyFont="1" applyFill="1"/>
    <xf numFmtId="0" fontId="0" fillId="7" borderId="0" xfId="0" applyFont="1" applyFill="1"/>
    <xf numFmtId="0" fontId="4" fillId="0" borderId="13" xfId="0" applyFont="1" applyBorder="1" applyAlignment="1">
      <alignment horizontal="left" wrapText="1"/>
    </xf>
    <xf numFmtId="6" fontId="4" fillId="0" borderId="13" xfId="0" applyNumberFormat="1" applyFont="1" applyBorder="1" applyAlignment="1">
      <alignment horizontal="right" wrapText="1"/>
    </xf>
    <xf numFmtId="0" fontId="1" fillId="0" borderId="15" xfId="0" applyFont="1" applyBorder="1"/>
    <xf numFmtId="0" fontId="1" fillId="0" borderId="6" xfId="0" applyFont="1" applyBorder="1"/>
    <xf numFmtId="0" fontId="1" fillId="0" borderId="16" xfId="0" applyFont="1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" xfId="0" applyBorder="1"/>
    <xf numFmtId="0" fontId="1" fillId="0" borderId="15" xfId="0" applyFont="1" applyBorder="1"/>
    <xf numFmtId="0" fontId="1" fillId="0" borderId="6" xfId="0" applyFont="1" applyBorder="1"/>
    <xf numFmtId="0" fontId="1" fillId="0" borderId="16" xfId="0" applyFont="1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" xfId="0" applyBorder="1"/>
    <xf numFmtId="0" fontId="1" fillId="0" borderId="15" xfId="0" applyFont="1" applyBorder="1"/>
    <xf numFmtId="0" fontId="1" fillId="0" borderId="6" xfId="0" applyFont="1" applyBorder="1"/>
    <xf numFmtId="0" fontId="1" fillId="0" borderId="16" xfId="0" applyFont="1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" xfId="0" applyBorder="1"/>
    <xf numFmtId="0" fontId="1" fillId="0" borderId="0" xfId="0" applyFont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Border="1"/>
    <xf numFmtId="0" fontId="0" fillId="0" borderId="1" xfId="0" applyBorder="1"/>
    <xf numFmtId="0" fontId="0" fillId="0" borderId="0" xfId="0" applyBorder="1"/>
    <xf numFmtId="0" fontId="0" fillId="0" borderId="0" xfId="0" applyBorder="1"/>
    <xf numFmtId="0" fontId="0" fillId="0" borderId="1" xfId="0" applyBorder="1"/>
    <xf numFmtId="0" fontId="1" fillId="0" borderId="15" xfId="0" applyFont="1" applyBorder="1"/>
    <xf numFmtId="0" fontId="1" fillId="0" borderId="6" xfId="0" applyFont="1" applyBorder="1"/>
    <xf numFmtId="0" fontId="1" fillId="0" borderId="16" xfId="0" applyFont="1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" xfId="0" applyBorder="1"/>
    <xf numFmtId="0" fontId="10" fillId="5" borderId="0" xfId="0" applyFont="1" applyFill="1" applyBorder="1"/>
    <xf numFmtId="0" fontId="10" fillId="5" borderId="0" xfId="0" applyFont="1" applyFill="1"/>
    <xf numFmtId="0" fontId="0" fillId="5" borderId="0" xfId="0" applyFill="1"/>
    <xf numFmtId="0" fontId="0" fillId="5" borderId="1" xfId="0" applyFill="1" applyBorder="1"/>
    <xf numFmtId="165" fontId="0" fillId="5" borderId="0" xfId="2" applyNumberFormat="1" applyFont="1" applyFill="1"/>
    <xf numFmtId="2" fontId="0" fillId="5" borderId="0" xfId="0" applyNumberFormat="1" applyFill="1"/>
    <xf numFmtId="2" fontId="0" fillId="5" borderId="0" xfId="0" applyNumberFormat="1" applyFill="1" applyBorder="1"/>
    <xf numFmtId="0" fontId="0" fillId="5" borderId="11" xfId="0" applyFill="1" applyBorder="1"/>
    <xf numFmtId="0" fontId="0" fillId="5" borderId="0" xfId="0" applyFill="1" applyBorder="1"/>
    <xf numFmtId="1" fontId="0" fillId="5" borderId="0" xfId="0" applyNumberFormat="1" applyFill="1"/>
    <xf numFmtId="9" fontId="0" fillId="0" borderId="0" xfId="3" applyFont="1" applyBorder="1" applyAlignment="1"/>
    <xf numFmtId="0" fontId="11" fillId="0" borderId="7" xfId="0" applyFont="1" applyFill="1" applyBorder="1" applyAlignment="1">
      <alignment textRotation="90"/>
    </xf>
    <xf numFmtId="2" fontId="0" fillId="0" borderId="19" xfId="0" applyNumberFormat="1" applyBorder="1"/>
    <xf numFmtId="0" fontId="1" fillId="0" borderId="0" xfId="0" applyFont="1" applyAlignment="1">
      <alignment horizontal="right"/>
    </xf>
    <xf numFmtId="2" fontId="0" fillId="0" borderId="0" xfId="0" applyNumberFormat="1" applyAlignment="1"/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1" fillId="0" borderId="0" xfId="0" applyFont="1" applyFill="1" applyBorder="1" applyAlignment="1"/>
    <xf numFmtId="0" fontId="1" fillId="0" borderId="15" xfId="0" applyFont="1" applyBorder="1"/>
    <xf numFmtId="0" fontId="1" fillId="0" borderId="6" xfId="0" applyFont="1" applyBorder="1"/>
    <xf numFmtId="0" fontId="1" fillId="0" borderId="16" xfId="0" applyFont="1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" xfId="0" applyBorder="1"/>
    <xf numFmtId="0" fontId="16" fillId="9" borderId="0" xfId="0" applyFont="1" applyFill="1" applyAlignment="1">
      <alignment horizontal="left" vertical="top" wrapText="1"/>
    </xf>
    <xf numFmtId="0" fontId="16" fillId="9" borderId="0" xfId="0" applyFont="1" applyFill="1" applyAlignment="1">
      <alignment horizontal="right" vertical="top" wrapText="1"/>
    </xf>
    <xf numFmtId="3" fontId="16" fillId="9" borderId="0" xfId="0" applyNumberFormat="1" applyFont="1" applyFill="1" applyAlignment="1">
      <alignment horizontal="right" vertical="top" wrapText="1"/>
    </xf>
    <xf numFmtId="6" fontId="16" fillId="9" borderId="0" xfId="0" applyNumberFormat="1" applyFont="1" applyFill="1" applyAlignment="1">
      <alignment horizontal="right" vertical="top" wrapText="1"/>
    </xf>
    <xf numFmtId="6" fontId="15" fillId="9" borderId="0" xfId="0" applyNumberFormat="1" applyFont="1" applyFill="1" applyAlignment="1">
      <alignment horizontal="right" vertical="top" wrapText="1"/>
    </xf>
    <xf numFmtId="0" fontId="0" fillId="0" borderId="13" xfId="0" applyBorder="1"/>
    <xf numFmtId="0" fontId="0" fillId="0" borderId="0" xfId="0" applyBorder="1"/>
    <xf numFmtId="0" fontId="4" fillId="0" borderId="2" xfId="4" applyNumberFormat="1" applyFont="1" applyBorder="1" applyAlignment="1">
      <alignment horizontal="right" wrapText="1"/>
    </xf>
    <xf numFmtId="6" fontId="14" fillId="9" borderId="0" xfId="0" applyNumberFormat="1" applyFont="1" applyFill="1" applyAlignment="1">
      <alignment horizontal="right" vertical="top" wrapText="1"/>
    </xf>
    <xf numFmtId="0" fontId="5" fillId="9" borderId="0" xfId="1" applyFill="1" applyAlignment="1" applyProtection="1">
      <alignment horizontal="left" vertical="top" wrapText="1"/>
    </xf>
    <xf numFmtId="0" fontId="0" fillId="0" borderId="0" xfId="0" applyBorder="1"/>
    <xf numFmtId="0" fontId="0" fillId="0" borderId="1" xfId="0" applyBorder="1"/>
    <xf numFmtId="0" fontId="0" fillId="0" borderId="11" xfId="0" applyBorder="1"/>
    <xf numFmtId="0" fontId="0" fillId="0" borderId="0" xfId="0" applyBorder="1"/>
    <xf numFmtId="0" fontId="0" fillId="0" borderId="13" xfId="0" applyBorder="1"/>
    <xf numFmtId="0" fontId="1" fillId="0" borderId="9" xfId="0" applyFont="1" applyBorder="1"/>
    <xf numFmtId="6" fontId="0" fillId="0" borderId="9" xfId="0" applyNumberFormat="1" applyBorder="1"/>
    <xf numFmtId="6" fontId="0" fillId="0" borderId="0" xfId="0" applyNumberFormat="1" applyBorder="1"/>
    <xf numFmtId="0" fontId="1" fillId="0" borderId="13" xfId="0" applyFont="1" applyBorder="1"/>
    <xf numFmtId="6" fontId="0" fillId="0" borderId="13" xfId="0" applyNumberFormat="1" applyBorder="1"/>
    <xf numFmtId="0" fontId="0" fillId="0" borderId="11" xfId="0" applyBorder="1"/>
    <xf numFmtId="0" fontId="0" fillId="0" borderId="0" xfId="0" applyBorder="1"/>
    <xf numFmtId="0" fontId="0" fillId="0" borderId="1" xfId="0" applyBorder="1"/>
    <xf numFmtId="0" fontId="0" fillId="0" borderId="11" xfId="0" applyFill="1" applyBorder="1"/>
    <xf numFmtId="0" fontId="0" fillId="0" borderId="0" xfId="0" applyFill="1" applyBorder="1"/>
    <xf numFmtId="0" fontId="0" fillId="0" borderId="1" xfId="0" applyFill="1" applyBorder="1"/>
    <xf numFmtId="0" fontId="10" fillId="8" borderId="0" xfId="0" applyFont="1" applyFill="1"/>
    <xf numFmtId="0" fontId="0" fillId="0" borderId="11" xfId="0" applyBorder="1"/>
    <xf numFmtId="0" fontId="0" fillId="0" borderId="0" xfId="0" applyBorder="1"/>
    <xf numFmtId="0" fontId="0" fillId="0" borderId="1" xfId="0" applyBorder="1"/>
    <xf numFmtId="0" fontId="0" fillId="0" borderId="17" xfId="0" applyFill="1" applyBorder="1"/>
    <xf numFmtId="0" fontId="0" fillId="0" borderId="13" xfId="0" applyBorder="1"/>
    <xf numFmtId="0" fontId="0" fillId="0" borderId="14" xfId="0" applyBorder="1"/>
    <xf numFmtId="0" fontId="1" fillId="0" borderId="15" xfId="0" applyFont="1" applyBorder="1"/>
    <xf numFmtId="0" fontId="1" fillId="0" borderId="6" xfId="0" applyFont="1" applyBorder="1"/>
    <xf numFmtId="0" fontId="1" fillId="0" borderId="16" xfId="0" applyFont="1" applyBorder="1"/>
    <xf numFmtId="0" fontId="0" fillId="0" borderId="11" xfId="0" applyFill="1" applyBorder="1"/>
    <xf numFmtId="0" fontId="0" fillId="0" borderId="0" xfId="0" applyFill="1" applyBorder="1"/>
    <xf numFmtId="0" fontId="0" fillId="0" borderId="1" xfId="0" applyFill="1" applyBorder="1"/>
    <xf numFmtId="0" fontId="18" fillId="0" borderId="0" xfId="0" applyFont="1" applyBorder="1"/>
    <xf numFmtId="0" fontId="18" fillId="0" borderId="1" xfId="0" applyFont="1" applyBorder="1"/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12" fillId="6" borderId="33" xfId="0" applyFont="1" applyFill="1" applyBorder="1" applyAlignment="1">
      <alignment wrapText="1"/>
    </xf>
    <xf numFmtId="0" fontId="12" fillId="6" borderId="34" xfId="0" applyFont="1" applyFill="1" applyBorder="1" applyAlignment="1">
      <alignment wrapText="1"/>
    </xf>
    <xf numFmtId="0" fontId="12" fillId="6" borderId="20" xfId="0" applyFont="1" applyFill="1" applyBorder="1" applyAlignment="1">
      <alignment wrapText="1"/>
    </xf>
    <xf numFmtId="0" fontId="12" fillId="6" borderId="21" xfId="0" applyFont="1" applyFill="1" applyBorder="1" applyAlignment="1">
      <alignment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5">
    <cellStyle name="Comma" xfId="4" builtinId="3"/>
    <cellStyle name="Currency" xfId="2" builtinId="4"/>
    <cellStyle name="Hyperlink" xfId="1" builtinId="8"/>
    <cellStyle name="Normal" xfId="0" builtinId="0"/>
    <cellStyle name="Percent" xfId="3" builtinId="5"/>
  </cellStyles>
  <dxfs count="153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00B050"/>
      </font>
    </dxf>
    <dxf>
      <font>
        <color rgb="FFFF0000"/>
      </font>
    </dxf>
    <dxf>
      <fill>
        <patternFill>
          <bgColor theme="6" tint="0.79998168889431442"/>
        </patternFill>
      </fill>
    </dxf>
    <dxf>
      <font>
        <color theme="5" tint="-0.24994659260841701"/>
      </font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5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00B050"/>
      </font>
    </dxf>
    <dxf>
      <font>
        <color rgb="FFFF0000"/>
      </font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theme="5" tint="-0.24994659260841701"/>
      </font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5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00B050"/>
      </font>
    </dxf>
    <dxf>
      <font>
        <color rgb="FFFF0000"/>
      </font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theme="5" tint="-0.24994659260841701"/>
      </font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5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00B050"/>
      </font>
    </dxf>
    <dxf>
      <font>
        <color rgb="FFFF0000"/>
      </font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theme="5" tint="-0.24994659260841701"/>
      </font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5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color theme="9"/>
      </font>
    </dxf>
    <dxf>
      <font>
        <color rgb="FFFF0000"/>
      </font>
    </dxf>
    <dxf>
      <font>
        <color rgb="FFFFFF00"/>
      </font>
      <fill>
        <patternFill>
          <bgColor theme="0" tint="-0.14996795556505021"/>
        </patternFill>
      </fill>
    </dxf>
    <dxf>
      <fill>
        <patternFill>
          <bgColor theme="4" tint="0.59996337778862885"/>
        </patternFill>
      </fill>
    </dxf>
    <dxf>
      <fill>
        <patternFill>
          <bgColor theme="6" tint="0.79998168889431442"/>
        </patternFill>
      </fill>
    </dxf>
    <dxf>
      <font>
        <color rgb="FFFFFF00"/>
      </font>
      <fill>
        <patternFill>
          <bgColor theme="0" tint="-0.14996795556505021"/>
        </patternFill>
      </fill>
    </dxf>
    <dxf>
      <font>
        <color theme="9"/>
      </font>
    </dxf>
    <dxf>
      <font>
        <color rgb="FFFF0000"/>
      </font>
    </dxf>
    <dxf>
      <font>
        <color rgb="FFFFFF00"/>
      </font>
      <fill>
        <patternFill>
          <bgColor theme="0" tint="-0.14996795556505021"/>
        </patternFill>
      </fill>
    </dxf>
    <dxf>
      <font>
        <color theme="9"/>
      </font>
    </dxf>
    <dxf>
      <font>
        <color rgb="FFFF0000"/>
      </font>
    </dxf>
    <dxf>
      <font>
        <color rgb="FFFFFF00"/>
      </font>
      <fill>
        <patternFill>
          <bgColor theme="0" tint="-0.14996795556505021"/>
        </patternFill>
      </fill>
    </dxf>
    <dxf>
      <font>
        <color theme="9"/>
      </font>
    </dxf>
    <dxf>
      <font>
        <color rgb="FFFF0000"/>
      </font>
    </dxf>
    <dxf>
      <font>
        <color rgb="FFFFFF00"/>
      </font>
      <fill>
        <patternFill>
          <bgColor theme="0" tint="-0.14996795556505021"/>
        </patternFill>
      </fill>
    </dxf>
    <dxf>
      <font>
        <color theme="9"/>
      </font>
    </dxf>
    <dxf>
      <font>
        <color rgb="FFFF0000"/>
      </font>
    </dxf>
    <dxf>
      <fill>
        <patternFill>
          <bgColor theme="4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ont>
        <color theme="5" tint="-0.24994659260841701"/>
      </font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5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color theme="5" tint="-0.24994659260841701"/>
      </font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5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color theme="5" tint="-0.24994659260841701"/>
      </font>
    </dxf>
    <dxf>
      <font>
        <color theme="5" tint="-0.24994659260841701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  <dxf>
      <font>
        <b/>
        <i val="0"/>
        <color theme="5" tint="-0.24994659260841701"/>
      </font>
    </dxf>
    <dxf>
      <font>
        <b/>
        <i val="0"/>
        <color theme="6" tint="-0.24994659260841701"/>
      </font>
    </dxf>
    <dxf>
      <font>
        <b/>
        <i val="0"/>
        <color theme="6" tint="-0.24994659260841701"/>
      </font>
    </dxf>
  </dxfs>
  <tableStyles count="0" defaultTableStyle="TableStyleMedium9"/>
  <colors>
    <mruColors>
      <color rgb="FFEDE80A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ikipeba.com/statslab13/payroll.php?player=10630" TargetMode="External"/><Relationship Id="rId13" Type="http://schemas.openxmlformats.org/officeDocument/2006/relationships/hyperlink" Target="http://wikipeba.com/statslab13/payroll.php?player=486" TargetMode="External"/><Relationship Id="rId18" Type="http://schemas.openxmlformats.org/officeDocument/2006/relationships/hyperlink" Target="http://wikipeba.com/statslab13/payroll.php?player=11204" TargetMode="External"/><Relationship Id="rId26" Type="http://schemas.openxmlformats.org/officeDocument/2006/relationships/hyperlink" Target="http://wikipeba.com/statslab13/payroll.php?player=39" TargetMode="External"/><Relationship Id="rId3" Type="http://schemas.openxmlformats.org/officeDocument/2006/relationships/hyperlink" Target="http://wikipeba.com/statslab13/payroll.php?player=10036" TargetMode="External"/><Relationship Id="rId21" Type="http://schemas.openxmlformats.org/officeDocument/2006/relationships/hyperlink" Target="http://wikipeba.com/statslab13/payroll.php?player=12148" TargetMode="External"/><Relationship Id="rId7" Type="http://schemas.openxmlformats.org/officeDocument/2006/relationships/hyperlink" Target="http://wikipeba.com/statslab13/payroll.php?player=11843" TargetMode="External"/><Relationship Id="rId12" Type="http://schemas.openxmlformats.org/officeDocument/2006/relationships/hyperlink" Target="http://wikipeba.com/statslab13/payroll.php?player=4650" TargetMode="External"/><Relationship Id="rId17" Type="http://schemas.openxmlformats.org/officeDocument/2006/relationships/hyperlink" Target="http://wikipeba.com/statslab13/payroll.php?player=10647" TargetMode="External"/><Relationship Id="rId25" Type="http://schemas.openxmlformats.org/officeDocument/2006/relationships/hyperlink" Target="http://wikipeba.com/statslab13/payroll.php?player=9953" TargetMode="External"/><Relationship Id="rId33" Type="http://schemas.openxmlformats.org/officeDocument/2006/relationships/printerSettings" Target="../printerSettings/printerSettings4.bin"/><Relationship Id="rId2" Type="http://schemas.openxmlformats.org/officeDocument/2006/relationships/hyperlink" Target="http://wikipeba.com/statslab13/payroll.php?player=4180" TargetMode="External"/><Relationship Id="rId16" Type="http://schemas.openxmlformats.org/officeDocument/2006/relationships/hyperlink" Target="http://wikipeba.com/statslab13/payroll.php?player=11101" TargetMode="External"/><Relationship Id="rId20" Type="http://schemas.openxmlformats.org/officeDocument/2006/relationships/hyperlink" Target="http://wikipeba.com/statslab13/payroll.php?player=12368" TargetMode="External"/><Relationship Id="rId29" Type="http://schemas.openxmlformats.org/officeDocument/2006/relationships/hyperlink" Target="http://wikipeba.com/statslab13/payroll.php?player=10363" TargetMode="External"/><Relationship Id="rId1" Type="http://schemas.openxmlformats.org/officeDocument/2006/relationships/hyperlink" Target="http://wikipeba.com/statslab13/payroll.php?player=4264" TargetMode="External"/><Relationship Id="rId6" Type="http://schemas.openxmlformats.org/officeDocument/2006/relationships/hyperlink" Target="http://wikipeba.com/statslab13/payroll.php?player=3560" TargetMode="External"/><Relationship Id="rId11" Type="http://schemas.openxmlformats.org/officeDocument/2006/relationships/hyperlink" Target="http://wikipeba.com/statslab13/payroll.php?player=9799" TargetMode="External"/><Relationship Id="rId24" Type="http://schemas.openxmlformats.org/officeDocument/2006/relationships/hyperlink" Target="http://wikipeba.com/statslab13/payroll.php?player=10592" TargetMode="External"/><Relationship Id="rId32" Type="http://schemas.openxmlformats.org/officeDocument/2006/relationships/hyperlink" Target="http://wikipeba.com/statslab13/payroll.php?player=3947" TargetMode="External"/><Relationship Id="rId5" Type="http://schemas.openxmlformats.org/officeDocument/2006/relationships/hyperlink" Target="http://wikipeba.com/statslab13/payroll.php?player=10569" TargetMode="External"/><Relationship Id="rId15" Type="http://schemas.openxmlformats.org/officeDocument/2006/relationships/hyperlink" Target="http://wikipeba.com/statslab13/payroll.php?player=7563" TargetMode="External"/><Relationship Id="rId23" Type="http://schemas.openxmlformats.org/officeDocument/2006/relationships/hyperlink" Target="http://wikipeba.com/statslab13/payroll.php?player=1433" TargetMode="External"/><Relationship Id="rId28" Type="http://schemas.openxmlformats.org/officeDocument/2006/relationships/hyperlink" Target="http://wikipeba.com/statslab13/payroll.php?player=10318" TargetMode="External"/><Relationship Id="rId10" Type="http://schemas.openxmlformats.org/officeDocument/2006/relationships/hyperlink" Target="http://wikipeba.com/statslab13/payroll.php?player=3496" TargetMode="External"/><Relationship Id="rId19" Type="http://schemas.openxmlformats.org/officeDocument/2006/relationships/hyperlink" Target="http://wikipeba.com/statslab13/payroll.php?player=1148" TargetMode="External"/><Relationship Id="rId31" Type="http://schemas.openxmlformats.org/officeDocument/2006/relationships/hyperlink" Target="http://wikipeba.com/statslab13/payroll.php?player=2142" TargetMode="External"/><Relationship Id="rId4" Type="http://schemas.openxmlformats.org/officeDocument/2006/relationships/hyperlink" Target="http://wikipeba.com/statslab13/payroll.php?player=9348" TargetMode="External"/><Relationship Id="rId9" Type="http://schemas.openxmlformats.org/officeDocument/2006/relationships/hyperlink" Target="http://wikipeba.com/statslab13/payroll.php?player=10344" TargetMode="External"/><Relationship Id="rId14" Type="http://schemas.openxmlformats.org/officeDocument/2006/relationships/hyperlink" Target="http://wikipeba.com/statslab13/payroll.php?player=9906" TargetMode="External"/><Relationship Id="rId22" Type="http://schemas.openxmlformats.org/officeDocument/2006/relationships/hyperlink" Target="http://wikipeba.com/statslab13/payroll.php?player=11871" TargetMode="External"/><Relationship Id="rId27" Type="http://schemas.openxmlformats.org/officeDocument/2006/relationships/hyperlink" Target="http://wikipeba.com/statslab13/payroll.php?player=3110" TargetMode="External"/><Relationship Id="rId30" Type="http://schemas.openxmlformats.org/officeDocument/2006/relationships/hyperlink" Target="http://wikipeba.com/statslab13/payroll.php?player=2332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ebabaseball.com/reports/news/html/players/player_10036.html" TargetMode="External"/><Relationship Id="rId2" Type="http://schemas.openxmlformats.org/officeDocument/2006/relationships/hyperlink" Target="http://www.pebabaseball.com/reports/news/html/players/player_4180.html" TargetMode="External"/><Relationship Id="rId1" Type="http://schemas.openxmlformats.org/officeDocument/2006/relationships/hyperlink" Target="http://www.pebabaseball.com/reports/news/html/players/player_4264.html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://www.pebabaseball.com/reports/news/html/players/player_10569.html" TargetMode="External"/><Relationship Id="rId4" Type="http://schemas.openxmlformats.org/officeDocument/2006/relationships/hyperlink" Target="http://www.pebabaseball.com/reports/news/html/players/player_9348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codeName="Sheet1">
    <tabColor theme="2" tint="-0.499984740745262"/>
  </sheetPr>
  <dimension ref="A1:AZ70"/>
  <sheetViews>
    <sheetView tabSelected="1" topLeftCell="A16" zoomScale="85" zoomScaleNormal="85" workbookViewId="0">
      <selection activeCell="C11" sqref="C11"/>
    </sheetView>
  </sheetViews>
  <sheetFormatPr defaultRowHeight="15"/>
  <cols>
    <col min="1" max="1" width="2" bestFit="1" customWidth="1"/>
    <col min="2" max="2" width="10.7109375" style="1" bestFit="1" customWidth="1"/>
    <col min="3" max="3" width="20" style="26" bestFit="1" customWidth="1"/>
    <col min="4" max="4" width="4.7109375" style="26" bestFit="1" customWidth="1"/>
    <col min="5" max="5" width="4.42578125" style="26" customWidth="1"/>
    <col min="6" max="6" width="4.42578125" bestFit="1" customWidth="1"/>
    <col min="7" max="7" width="3.7109375" bestFit="1" customWidth="1"/>
    <col min="8" max="8" width="4.7109375" bestFit="1" customWidth="1"/>
    <col min="9" max="9" width="4.28515625" customWidth="1"/>
    <col min="10" max="12" width="3.7109375" customWidth="1"/>
    <col min="13" max="16" width="3.7109375" bestFit="1" customWidth="1"/>
    <col min="17" max="17" width="4.28515625" bestFit="1" customWidth="1"/>
    <col min="18" max="18" width="4.7109375" bestFit="1" customWidth="1"/>
    <col min="19" max="21" width="3.7109375" bestFit="1" customWidth="1"/>
    <col min="22" max="22" width="4.28515625" bestFit="1" customWidth="1"/>
    <col min="23" max="23" width="4.7109375" bestFit="1" customWidth="1"/>
    <col min="24" max="24" width="4.28515625" customWidth="1"/>
    <col min="25" max="25" width="4.28515625" bestFit="1" customWidth="1"/>
    <col min="26" max="26" width="10.42578125" bestFit="1" customWidth="1"/>
    <col min="27" max="27" width="4.28515625" bestFit="1" customWidth="1"/>
    <col min="28" max="29" width="4.7109375" bestFit="1" customWidth="1"/>
    <col min="30" max="32" width="3.7109375" bestFit="1" customWidth="1"/>
    <col min="33" max="33" width="4.7109375" bestFit="1" customWidth="1"/>
    <col min="34" max="36" width="3.7109375" bestFit="1" customWidth="1"/>
    <col min="37" max="37" width="4.5703125" bestFit="1" customWidth="1"/>
    <col min="38" max="51" width="3.7109375" bestFit="1" customWidth="1"/>
    <col min="52" max="52" width="4.5703125" bestFit="1" customWidth="1"/>
  </cols>
  <sheetData>
    <row r="1" spans="1:52">
      <c r="D1" s="26">
        <v>4</v>
      </c>
      <c r="E1" s="26">
        <v>5</v>
      </c>
      <c r="J1">
        <v>23</v>
      </c>
      <c r="K1">
        <v>21</v>
      </c>
      <c r="L1">
        <v>22</v>
      </c>
      <c r="M1">
        <v>24</v>
      </c>
      <c r="N1">
        <v>25</v>
      </c>
      <c r="O1">
        <v>26</v>
      </c>
      <c r="P1">
        <v>27</v>
      </c>
      <c r="Q1">
        <v>28</v>
      </c>
      <c r="R1">
        <v>29</v>
      </c>
      <c r="S1">
        <v>30</v>
      </c>
      <c r="T1">
        <v>31</v>
      </c>
      <c r="AD1">
        <v>11</v>
      </c>
      <c r="AE1">
        <v>12</v>
      </c>
      <c r="AF1">
        <v>13</v>
      </c>
      <c r="AG1">
        <v>14</v>
      </c>
      <c r="AH1">
        <v>15</v>
      </c>
      <c r="AI1">
        <v>32</v>
      </c>
      <c r="AJ1">
        <v>33</v>
      </c>
      <c r="AU1">
        <v>16</v>
      </c>
      <c r="AV1">
        <v>17</v>
      </c>
      <c r="AW1">
        <v>18</v>
      </c>
      <c r="AX1">
        <v>19</v>
      </c>
      <c r="AY1">
        <v>20</v>
      </c>
    </row>
    <row r="2" spans="1:52" s="24" customFormat="1" ht="215.25">
      <c r="A2" s="25" t="s">
        <v>193</v>
      </c>
      <c r="B2" s="43" t="s">
        <v>124</v>
      </c>
      <c r="C2" s="44" t="str">
        <f>"Player ("&amp;COUNTA(C3:C11)&amp;")"</f>
        <v>Player (8)</v>
      </c>
      <c r="D2" s="44" t="s">
        <v>91</v>
      </c>
      <c r="E2" s="44" t="s">
        <v>101</v>
      </c>
      <c r="F2" s="51" t="str">
        <f>"Only 1 guy who plays only 1B ("&amp;SUM(F3:F11)&amp;")"</f>
        <v>Only 1 guy who plays only 1B (2)</v>
      </c>
      <c r="G2" s="45" t="str">
        <f>"Only 1 guy who can only play 1B or LF ("&amp;SUM(G3:G11)&amp;")"</f>
        <v>Only 1 guy who can only play 1B or LF (2)</v>
      </c>
      <c r="H2" s="46" t="str">
        <f>"2 guys with RF arms ("&amp;SUM(H3:H11)&amp;")"</f>
        <v>2 guys with RF arms (3)</v>
      </c>
      <c r="I2" s="46" t="str">
        <f>"2 guys with CF range ("&amp;SUM(I3:I11)&amp;")"</f>
        <v>2 guys with CF range (4)</v>
      </c>
      <c r="J2" s="55" t="s">
        <v>136</v>
      </c>
      <c r="K2" s="47" t="s">
        <v>134</v>
      </c>
      <c r="L2" s="56" t="s">
        <v>135</v>
      </c>
      <c r="M2" s="48" t="s">
        <v>92</v>
      </c>
      <c r="N2" s="48" t="s">
        <v>94</v>
      </c>
      <c r="O2" s="48" t="s">
        <v>95</v>
      </c>
      <c r="P2" s="48" t="s">
        <v>96</v>
      </c>
      <c r="Q2" s="48" t="s">
        <v>97</v>
      </c>
      <c r="R2" s="48" t="s">
        <v>98</v>
      </c>
      <c r="S2" s="48" t="s">
        <v>99</v>
      </c>
      <c r="T2" s="49" t="s">
        <v>100</v>
      </c>
      <c r="U2" s="51" t="s">
        <v>137</v>
      </c>
      <c r="V2" s="45" t="s">
        <v>181</v>
      </c>
      <c r="W2" s="45" t="s">
        <v>138</v>
      </c>
      <c r="X2" s="45" t="s">
        <v>154</v>
      </c>
      <c r="Y2" s="45" t="s">
        <v>153</v>
      </c>
      <c r="Z2" s="45" t="s">
        <v>141</v>
      </c>
      <c r="AA2" s="45" t="s">
        <v>142</v>
      </c>
      <c r="AB2" s="45" t="s">
        <v>159</v>
      </c>
      <c r="AC2" s="60" t="s">
        <v>143</v>
      </c>
      <c r="AD2" s="48" t="s">
        <v>147</v>
      </c>
      <c r="AE2" s="48" t="s">
        <v>148</v>
      </c>
      <c r="AF2" s="48" t="s">
        <v>149</v>
      </c>
      <c r="AG2" s="48" t="s">
        <v>150</v>
      </c>
      <c r="AH2" s="48" t="s">
        <v>29</v>
      </c>
      <c r="AI2" s="63" t="s">
        <v>151</v>
      </c>
      <c r="AJ2" s="49" t="s">
        <v>152</v>
      </c>
      <c r="AK2" s="66" t="s">
        <v>157</v>
      </c>
      <c r="AL2" s="51" t="s">
        <v>137</v>
      </c>
      <c r="AM2" s="45" t="s">
        <v>181</v>
      </c>
      <c r="AN2" s="45" t="s">
        <v>138</v>
      </c>
      <c r="AO2" s="45" t="s">
        <v>154</v>
      </c>
      <c r="AP2" s="45" t="s">
        <v>153</v>
      </c>
      <c r="AQ2" s="45" t="s">
        <v>141</v>
      </c>
      <c r="AR2" s="45" t="s">
        <v>142</v>
      </c>
      <c r="AS2" s="45" t="s">
        <v>159</v>
      </c>
      <c r="AT2" s="60" t="s">
        <v>143</v>
      </c>
      <c r="AU2" s="63" t="s">
        <v>147</v>
      </c>
      <c r="AV2" s="48" t="s">
        <v>148</v>
      </c>
      <c r="AW2" s="48" t="s">
        <v>149</v>
      </c>
      <c r="AX2" s="48" t="s">
        <v>150</v>
      </c>
      <c r="AY2" s="49" t="s">
        <v>29</v>
      </c>
      <c r="AZ2" s="66" t="s">
        <v>197</v>
      </c>
    </row>
    <row r="3" spans="1:52">
      <c r="A3">
        <v>1</v>
      </c>
      <c r="B3" s="32" t="s">
        <v>94</v>
      </c>
      <c r="C3" s="37" t="s">
        <v>600</v>
      </c>
      <c r="D3" s="33">
        <f>IF($C3="","",VLOOKUP($C3,CTBat!$G$10:$BR$203,D$1,FALSE))</f>
        <v>31</v>
      </c>
      <c r="E3" s="33" t="str">
        <f>IF($C3="","",VLOOKUP($C3,CTBat!$G$10:$BR$203,E$1,FALSE))</f>
        <v>L</v>
      </c>
      <c r="F3" s="52">
        <f>IF($C3="","",IF(AND(N3&gt;0,N3=SUM(M3:T3)),1,0))</f>
        <v>0</v>
      </c>
      <c r="G3" s="34">
        <f>IF($C3="","",IF(AND(OR(N3&gt;0,R3&gt;0),SUM(N3,R3)=SUM(M3:T3)),1,0))</f>
        <v>0</v>
      </c>
      <c r="H3" s="34">
        <f>IF($C3="","",IF(L3&gt;6,1,0))</f>
        <v>0</v>
      </c>
      <c r="I3" s="34">
        <f t="shared" ref="I3:I7" si="0">IF($C3="","",IF(AND(S3&gt;4,S3&lt;&gt;"-"),1,0))</f>
        <v>0</v>
      </c>
      <c r="J3" s="57">
        <f>IF($C3="","",VLOOKUP($C3,CTBat!$G$10:$BR$203,J$1,FALSE))</f>
        <v>1</v>
      </c>
      <c r="K3" s="33">
        <f>IF($C3="","",VLOOKUP($C3,CTBat!$G$10:$BR$203,K$1,FALSE))</f>
        <v>6</v>
      </c>
      <c r="L3" s="35">
        <f>IF($C3="","",VLOOKUP($C3,CTBat!$G$10:$BR$203,L$1,FALSE))</f>
        <v>4</v>
      </c>
      <c r="M3" s="33" t="str">
        <f>IF($C3="","",VLOOKUP($C3,CTBat!$G$10:$BR$203,M$1,FALSE))</f>
        <v>-</v>
      </c>
      <c r="N3" s="33">
        <f>IF($C3="","",VLOOKUP($C3,CTBat!$G$10:$BR$203,N$1,FALSE))</f>
        <v>9</v>
      </c>
      <c r="O3" s="33" t="str">
        <f>IF($C3="","",VLOOKUP($C3,CTBat!$G$10:$BR$203,O$1,FALSE))</f>
        <v>-</v>
      </c>
      <c r="P3" s="33">
        <f>IF($C3="","",VLOOKUP($C3,CTBat!$G$10:$BR$203,P$1,FALSE))</f>
        <v>1</v>
      </c>
      <c r="Q3" s="33" t="str">
        <f>IF($C3="","",VLOOKUP($C3,CTBat!$G$10:$BR$203,Q$1,FALSE))</f>
        <v>-</v>
      </c>
      <c r="R3" s="33">
        <f>IF($C3="","",VLOOKUP($C3,CTBat!$G$10:$BR$203,R$1,FALSE))</f>
        <v>1</v>
      </c>
      <c r="S3" s="33" t="str">
        <f>IF($C3="","",VLOOKUP($C3,CTBat!$G$10:$BR$203,S$1,FALSE))</f>
        <v>-</v>
      </c>
      <c r="T3" s="35">
        <f>IF($C3="","",VLOOKUP($C3,CTBat!$G$10:$BR$203,T$1,FALSE))</f>
        <v>2</v>
      </c>
      <c r="U3" s="53">
        <f t="shared" ref="U3:U11" si="1">IF($C3="","",IF(OR(AD3+AG3&gt;14,AND(OR(AD3+AG3&gt;12,AND(AD3&gt;6,AG3&gt;6)),AI3&gt;6,OR(AJ3&gt;=AI3,AJ3&gt;6))),1,0))</f>
        <v>1</v>
      </c>
      <c r="V3" s="5">
        <f t="shared" ref="V3:V4" si="2">IF($C3="","",IF(OR(AND(AD3&gt;6,AH3&gt;6),AD3+AG3&gt;12),1,0))</f>
        <v>1</v>
      </c>
      <c r="W3" s="34">
        <f>IF($C3="","",IF(AND(AD3&gt;6,AF3&gt;6,AG3&gt;6),1,0))</f>
        <v>1</v>
      </c>
      <c r="X3" s="34">
        <f>IF($C3="","",IF(AND(AF3&gt;7,OR(AD3&gt;6,AG3&gt;6)),1,0))</f>
        <v>1</v>
      </c>
      <c r="Y3" s="34">
        <f>IF($C3="","",IF(AND(AF3&gt;6,OR(AD3&gt;6,AG3&gt;6)),1,0))</f>
        <v>1</v>
      </c>
      <c r="Z3" s="34">
        <f>IF($C3="","",IF(AND(OR(AD3&gt;6,AF3&gt;6),OR(AD3&gt;6,AG3&gt;6)),1,0))</f>
        <v>1</v>
      </c>
      <c r="AA3" s="34">
        <f>IF($C3="","",IF(AND(AD3&gt;4,OR(AD3&gt;6,AF3&gt;6,AG3&gt;6)),1,0))</f>
        <v>1</v>
      </c>
      <c r="AB3" s="34">
        <f>IF($C3="","",IF(AND(AD3&gt;4,OR(AD3&gt;6,AE3&gt;6,AF3&gt;6,AG3&gt;6)),1,0))</f>
        <v>1</v>
      </c>
      <c r="AC3" s="61">
        <f>IF($C3="","",IF(AND(AD3&gt;4,MAX(AD3:AH3)&gt;6),1,0))</f>
        <v>1</v>
      </c>
      <c r="AD3" s="33">
        <f>IF($C3="","",VLOOKUP($C3,CTBat!$G$10:$BR$203,AD$1,FALSE))</f>
        <v>7</v>
      </c>
      <c r="AE3" s="33">
        <f>IF($C3="","",VLOOKUP($C3,CTBat!$G$10:$BR$203,AE$1,FALSE))</f>
        <v>8</v>
      </c>
      <c r="AF3" s="33">
        <f>IF($C3="","",VLOOKUP($C3,CTBat!$G$10:$BR$203,AF$1,FALSE))</f>
        <v>9</v>
      </c>
      <c r="AG3" s="33">
        <f>IF($C3="","",VLOOKUP($C3,CTBat!$G$10:$BR$203,AG$1,FALSE))</f>
        <v>8</v>
      </c>
      <c r="AH3" s="33">
        <f>IF($C3="","",VLOOKUP($C3,CTBat!$G$10:$BR$203,AH$1,FALSE))</f>
        <v>5</v>
      </c>
      <c r="AI3" s="57">
        <f>IF($C3="","",VLOOKUP($C3,CTBat!$G$10:$BR$203,AI$1,FALSE))</f>
        <v>4</v>
      </c>
      <c r="AJ3" s="35">
        <f>IF($C3="","",VLOOKUP($C3,CTBat!$G$10:$BR$203,AJ$1,FALSE))</f>
        <v>2</v>
      </c>
      <c r="AK3" s="67">
        <f>IF($C3="","",(5*AD3+4*AF3+3*AG3+2*AE3+1*AH3+0.5*(AVERAGE(AD3:AE3))+0.5*AVERAGE(AD3,AH3)+1*(AVERAGE(AD3,AF3))+1*AVERAGE(AD3,AG3))/(5+4+3+2+1+0.5+0.5+1+1))</f>
        <v>7.6805555555555554</v>
      </c>
      <c r="AL3" s="52">
        <f>IF($C3="","",IF(AND(OR(AU3+AX3&gt;12,AND(AU3&gt;6,AX3&gt;6)),AI3&gt;6,OR(AJ3&gt;=AI3,AJ3&gt;6)),1,0))</f>
        <v>0</v>
      </c>
      <c r="AM3" s="34">
        <f>IF($C3="","",IF(OR(AND(AU3&gt;6,AY3&gt;6),AU3+AX3&gt;12),1,0))</f>
        <v>1</v>
      </c>
      <c r="AN3" s="34">
        <f>IF($C3="","",IF(AND(AU3&gt;6,AW3&gt;6,AX3&gt;6),1,0))</f>
        <v>1</v>
      </c>
      <c r="AO3" s="34">
        <f>IF($C3="","",IF(AND(AW3&gt;7,OR(AU3&gt;6,AX3&gt;6)),1,0))</f>
        <v>1</v>
      </c>
      <c r="AP3" s="34">
        <f>IF($C3="","",IF(AND(AW3&gt;6,OR(AU3&gt;6,AX3&gt;6)),1,0))</f>
        <v>1</v>
      </c>
      <c r="AQ3" s="34">
        <f>IF($C3="","",IF(AND(OR(AU3&gt;6,AW3&gt;6),OR(AU3&gt;6,AX3&gt;6)),1,0))</f>
        <v>1</v>
      </c>
      <c r="AR3" s="34">
        <f>IF($C3="","",IF(AND(AU3&gt;4,OR(AU3&gt;6,AW3&gt;6,AX3&gt;6)),1,0))</f>
        <v>1</v>
      </c>
      <c r="AS3" s="34">
        <f>IF($C3="","",IF(AND(AU3&gt;4,OR(AU3&gt;6,AV3&gt;6,AW3&gt;6,AX3&gt;6)),1,0))</f>
        <v>1</v>
      </c>
      <c r="AT3" s="61">
        <f>IF($C3="","",IF(AND(AU3&gt;4,MAX(AU3:AY3)&gt;6),1,0))</f>
        <v>1</v>
      </c>
      <c r="AU3" s="57">
        <f>IF($C3="","",VLOOKUP($C3,CTBat!$G$10:$BR$203,AU$1,FALSE))</f>
        <v>8</v>
      </c>
      <c r="AV3" s="33">
        <f>IF($C3="","",VLOOKUP($C3,CTBat!$G$10:$BR$203,AV$1,FALSE))</f>
        <v>8</v>
      </c>
      <c r="AW3" s="33">
        <f>IF($C3="","",VLOOKUP($C3,CTBat!$G$10:$BR$203,AW$1,FALSE))</f>
        <v>9</v>
      </c>
      <c r="AX3" s="33">
        <f>IF($C3="","",VLOOKUP($C3,CTBat!$G$10:$BR$203,AX$1,FALSE))</f>
        <v>8</v>
      </c>
      <c r="AY3" s="35">
        <f>IF($C3="","",VLOOKUP($C3,CTBat!$G$10:$BR$203,AY$1,FALSE))</f>
        <v>5</v>
      </c>
      <c r="AZ3" s="67">
        <f>IF($C3="","",(5*AU3+4*AW3+3*AX3+2*AV3+1*AY3+0.5*(AVERAGE(AU3:AV3))+0.5*AVERAGE(AU3,AY3)+1*(AVERAGE(AU3,AW3))+1*AVERAGE(AU3,AX3))/(5+4+3+2+1+0.5+0.5+1+1))</f>
        <v>8.0416666666666661</v>
      </c>
    </row>
    <row r="4" spans="1:52">
      <c r="A4">
        <v>2</v>
      </c>
      <c r="B4" s="36" t="s">
        <v>98</v>
      </c>
      <c r="C4" s="37" t="s">
        <v>408</v>
      </c>
      <c r="D4" s="37">
        <f>IF($C4="","",VLOOKUP($C4,CTBat!$G$10:$BR$203,D$1,FALSE))</f>
        <v>27</v>
      </c>
      <c r="E4" s="37" t="str">
        <f>IF($C4="","",VLOOKUP($C4,CTBat!$G$10:$BR$203,E$1,FALSE))</f>
        <v>L</v>
      </c>
      <c r="F4" s="53">
        <f t="shared" ref="F4:F11" si="3">IF($C4="","",IF(AND(N4&gt;0,N4=SUM(M4:T4)),1,0))</f>
        <v>0</v>
      </c>
      <c r="G4" s="5">
        <f t="shared" ref="G4:G11" si="4">IF($C4="","",IF(AND(OR(N4&gt;0,R4&gt;0),SUM(N4,R4)=SUM(M4:T4)),1,0))</f>
        <v>0</v>
      </c>
      <c r="H4" s="5">
        <f t="shared" ref="H4:H11" si="5">IF($C4="","",IF(L4&gt;6,1,0))</f>
        <v>0</v>
      </c>
      <c r="I4" s="5">
        <f t="shared" si="0"/>
        <v>1</v>
      </c>
      <c r="J4" s="58">
        <f>IF($C4="","",VLOOKUP($C4,CTBat!$G$10:$BR$203,J$1,FALSE))</f>
        <v>1</v>
      </c>
      <c r="K4" s="37">
        <f>IF($C4="","",VLOOKUP($C4,CTBat!$G$10:$BR$203,K$1,FALSE))</f>
        <v>1</v>
      </c>
      <c r="L4" s="38">
        <f>IF($C4="","",VLOOKUP($C4,CTBat!$G$10:$BR$203,L$1,FALSE))</f>
        <v>4</v>
      </c>
      <c r="M4" s="37" t="str">
        <f>IF($C4="","",VLOOKUP($C4,CTBat!$G$10:$BR$203,M$1,FALSE))</f>
        <v>-</v>
      </c>
      <c r="N4" s="37" t="str">
        <f>IF($C4="","",VLOOKUP($C4,CTBat!$G$10:$BR$203,N$1,FALSE))</f>
        <v>-</v>
      </c>
      <c r="O4" s="37" t="str">
        <f>IF($C4="","",VLOOKUP($C4,CTBat!$G$10:$BR$203,O$1,FALSE))</f>
        <v>-</v>
      </c>
      <c r="P4" s="37" t="str">
        <f>IF($C4="","",VLOOKUP($C4,CTBat!$G$10:$BR$203,P$1,FALSE))</f>
        <v>-</v>
      </c>
      <c r="Q4" s="37" t="str">
        <f>IF($C4="","",VLOOKUP($C4,CTBat!$G$10:$BR$203,Q$1,FALSE))</f>
        <v>-</v>
      </c>
      <c r="R4" s="37">
        <f>IF($C4="","",VLOOKUP($C4,CTBat!$G$10:$BR$203,R$1,FALSE))</f>
        <v>10</v>
      </c>
      <c r="S4" s="37">
        <f>IF($C4="","",VLOOKUP($C4,CTBat!$G$10:$BR$203,S$1,FALSE))</f>
        <v>7</v>
      </c>
      <c r="T4" s="38">
        <f>IF($C4="","",VLOOKUP($C4,CTBat!$G$10:$BR$203,T$1,FALSE))</f>
        <v>7</v>
      </c>
      <c r="U4" s="53">
        <f t="shared" si="1"/>
        <v>1</v>
      </c>
      <c r="V4" s="5">
        <f t="shared" si="2"/>
        <v>1</v>
      </c>
      <c r="W4" s="5">
        <f t="shared" ref="W4:W11" si="6">IF($C4="","",IF(AND(AD4&gt;6,AF4&gt;6,AG4&gt;6),1,0))</f>
        <v>0</v>
      </c>
      <c r="X4" s="5">
        <f t="shared" ref="X4:X11" si="7">IF($C4="","",IF(AND(AF4&gt;7,OR(AD4&gt;6,AG4&gt;6)),1,0))</f>
        <v>0</v>
      </c>
      <c r="Y4" s="5">
        <f t="shared" ref="Y4:Y11" si="8">IF($C4="","",IF(AND(AF4&gt;6,OR(AD4&gt;6,AG4&gt;6)),1,0))</f>
        <v>1</v>
      </c>
      <c r="Z4" s="5">
        <f t="shared" ref="Z4:Z11" si="9">IF($C4="","",IF(AND(OR(AD4&gt;6,AF4&gt;6),OR(AD4&gt;6,AG4&gt;6)),1,0))</f>
        <v>1</v>
      </c>
      <c r="AA4" s="5">
        <f t="shared" ref="AA4:AA11" si="10">IF($C4="","",IF(AND(AD4&gt;4,OR(AD4&gt;6,AF4&gt;6,AG4&gt;6)),1,0))</f>
        <v>1</v>
      </c>
      <c r="AB4" s="5">
        <f t="shared" ref="AB4:AB11" si="11">IF($C4="","",IF(AND(AD4&gt;4,OR(AD4&gt;6,AE4&gt;6,AF4&gt;6,AG4&gt;6)),1,0))</f>
        <v>1</v>
      </c>
      <c r="AC4" s="3">
        <f t="shared" ref="AC4:AC11" si="12">IF($C4="","",IF(AND(AD4&gt;4,MAX(AD4:AH4)&gt;6),1,0))</f>
        <v>1</v>
      </c>
      <c r="AD4" s="37">
        <f>IF($C4="","",VLOOKUP($C4,CTBat!$G$10:$BR$203,AD$1,FALSE))</f>
        <v>8</v>
      </c>
      <c r="AE4" s="37">
        <f>IF($C4="","",VLOOKUP($C4,CTBat!$G$10:$BR$203,AE$1,FALSE))</f>
        <v>7</v>
      </c>
      <c r="AF4" s="37">
        <f>IF($C4="","",VLOOKUP($C4,CTBat!$G$10:$BR$203,AF$1,FALSE))</f>
        <v>7</v>
      </c>
      <c r="AG4" s="37">
        <f>IF($C4="","",VLOOKUP($C4,CTBat!$G$10:$BR$203,AG$1,FALSE))</f>
        <v>6</v>
      </c>
      <c r="AH4" s="37">
        <f>IF($C4="","",VLOOKUP($C4,CTBat!$G$10:$BR$203,AH$1,FALSE))</f>
        <v>9</v>
      </c>
      <c r="AI4" s="58">
        <f>IF($C4="","",VLOOKUP($C4,CTBat!$G$10:$BR$203,AI$1,FALSE))</f>
        <v>7</v>
      </c>
      <c r="AJ4" s="38">
        <f>IF($C4="","",VLOOKUP($C4,CTBat!$G$10:$BR$203,AJ$1,FALSE))</f>
        <v>10</v>
      </c>
      <c r="AK4" s="67">
        <f t="shared" ref="AK4:AK11" si="13">IF($C4="","",(5*AD4+4*AF4+3*AG4+2*AE4+1*AH4+0.5*(AVERAGE(AD4:AE4))+0.5*AVERAGE(AD4,AH4)+1*(AVERAGE(AD4,AF4))+1*AVERAGE(AD4,AG4))/(5+4+3+2+1+0.5+0.5+1+1))</f>
        <v>7.3055555555555554</v>
      </c>
      <c r="AL4" s="53">
        <f t="shared" ref="AL4:AL11" si="14">IF($C4="","",IF(AND(OR(AU4+AX4&gt;12,AND(AU4&gt;6,AX4&gt;6)),AI4&gt;6,OR(AJ4&gt;=AI4,AJ4&gt;6)),1,0))</f>
        <v>1</v>
      </c>
      <c r="AM4" s="5">
        <f t="shared" ref="AM4:AM11" si="15">IF($C4="","",IF(OR(AND(AU4&gt;6,AY4&gt;6),AU4+AX4&gt;12),1,0))</f>
        <v>1</v>
      </c>
      <c r="AN4" s="5">
        <f t="shared" ref="AN4:AN11" si="16">IF($C4="","",IF(AND(AU4&gt;6,AW4&gt;6,AX4&gt;6),1,0))</f>
        <v>0</v>
      </c>
      <c r="AO4" s="5">
        <f t="shared" ref="AO4:AO11" si="17">IF($C4="","",IF(AND(AW4&gt;7,OR(AU4&gt;6,AX4&gt;6)),1,0))</f>
        <v>0</v>
      </c>
      <c r="AP4" s="5">
        <f t="shared" ref="AP4:AP11" si="18">IF($C4="","",IF(AND(AW4&gt;6,OR(AU4&gt;6,AX4&gt;6)),1,0))</f>
        <v>1</v>
      </c>
      <c r="AQ4" s="5">
        <f t="shared" ref="AQ4:AQ11" si="19">IF($C4="","",IF(AND(OR(AU4&gt;6,AW4&gt;6),OR(AU4&gt;6,AX4&gt;6)),1,0))</f>
        <v>1</v>
      </c>
      <c r="AR4" s="5">
        <f t="shared" ref="AR4:AR11" si="20">IF($C4="","",IF(AND(AU4&gt;4,OR(AU4&gt;6,AW4&gt;6,AX4&gt;6)),1,0))</f>
        <v>1</v>
      </c>
      <c r="AS4" s="5">
        <f t="shared" ref="AS4:AS11" si="21">IF($C4="","",IF(AND(AU4&gt;4,OR(AU4&gt;6,AV4&gt;6,AW4&gt;6,AX4&gt;6)),1,0))</f>
        <v>1</v>
      </c>
      <c r="AT4" s="3">
        <f t="shared" ref="AT4:AT11" si="22">IF($C4="","",IF(AND(AU4&gt;4,MAX(AU4:AY4)&gt;6),1,0))</f>
        <v>1</v>
      </c>
      <c r="AU4" s="58">
        <f>IF($C4="","",VLOOKUP($C4,CTBat!$G$10:$BR$203,AU$1,FALSE))</f>
        <v>8</v>
      </c>
      <c r="AV4" s="37">
        <f>IF($C4="","",VLOOKUP($C4,CTBat!$G$10:$BR$203,AV$1,FALSE))</f>
        <v>7</v>
      </c>
      <c r="AW4" s="37">
        <f>IF($C4="","",VLOOKUP($C4,CTBat!$G$10:$BR$203,AW$1,FALSE))</f>
        <v>7</v>
      </c>
      <c r="AX4" s="37">
        <f>IF($C4="","",VLOOKUP($C4,CTBat!$G$10:$BR$203,AX$1,FALSE))</f>
        <v>6</v>
      </c>
      <c r="AY4" s="38">
        <f>IF($C4="","",VLOOKUP($C4,CTBat!$G$10:$BR$203,AY$1,FALSE))</f>
        <v>9</v>
      </c>
      <c r="AZ4" s="67">
        <f t="shared" ref="AZ4:AZ11" si="23">IF($C4="","",(5*AU4+4*AW4+3*AX4+2*AV4+1*AY4+0.5*(AVERAGE(AU4:AV4))+0.5*AVERAGE(AU4,AY4)+1*(AVERAGE(AU4,AW4))+1*AVERAGE(AU4,AX4))/(5+4+3+2+1+0.5+0.5+1+1))</f>
        <v>7.3055555555555554</v>
      </c>
    </row>
    <row r="5" spans="1:52">
      <c r="A5">
        <v>3</v>
      </c>
      <c r="B5" s="36" t="s">
        <v>99</v>
      </c>
      <c r="C5" s="65" t="s">
        <v>594</v>
      </c>
      <c r="D5" s="37">
        <f>IF($C5="","",VLOOKUP($C5,CTBat!$G$10:$BR$203,D$1,FALSE))</f>
        <v>28</v>
      </c>
      <c r="E5" s="37" t="str">
        <f>IF($C5="","",VLOOKUP($C5,CTBat!$G$10:$BR$203,E$1,FALSE))</f>
        <v>L</v>
      </c>
      <c r="F5" s="53">
        <f t="shared" si="3"/>
        <v>0</v>
      </c>
      <c r="G5" s="5">
        <f t="shared" si="4"/>
        <v>0</v>
      </c>
      <c r="H5" s="5">
        <f t="shared" si="5"/>
        <v>1</v>
      </c>
      <c r="I5" s="5">
        <f t="shared" si="0"/>
        <v>1</v>
      </c>
      <c r="J5" s="58">
        <f>IF($C5="","",VLOOKUP($C5,CTBat!$G$10:$BR$203,J$1,FALSE))</f>
        <v>1</v>
      </c>
      <c r="K5" s="37">
        <f>IF($C5="","",VLOOKUP($C5,CTBat!$G$10:$BR$203,K$1,FALSE))</f>
        <v>1</v>
      </c>
      <c r="L5" s="38">
        <f>IF($C5="","",VLOOKUP($C5,CTBat!$G$10:$BR$203,L$1,FALSE))</f>
        <v>9</v>
      </c>
      <c r="M5" s="37" t="str">
        <f>IF($C5="","",VLOOKUP($C5,CTBat!$G$10:$BR$203,M$1,FALSE))</f>
        <v>-</v>
      </c>
      <c r="N5" s="37" t="str">
        <f>IF($C5="","",VLOOKUP($C5,CTBat!$G$10:$BR$203,N$1,FALSE))</f>
        <v>-</v>
      </c>
      <c r="O5" s="37" t="str">
        <f>IF($C5="","",VLOOKUP($C5,CTBat!$G$10:$BR$203,O$1,FALSE))</f>
        <v>-</v>
      </c>
      <c r="P5" s="37" t="str">
        <f>IF($C5="","",VLOOKUP($C5,CTBat!$G$10:$BR$203,P$1,FALSE))</f>
        <v>-</v>
      </c>
      <c r="Q5" s="37" t="str">
        <f>IF($C5="","",VLOOKUP($C5,CTBat!$G$10:$BR$203,Q$1,FALSE))</f>
        <v>-</v>
      </c>
      <c r="R5" s="37">
        <f>IF($C5="","",VLOOKUP($C5,CTBat!$G$10:$BR$203,R$1,FALSE))</f>
        <v>8</v>
      </c>
      <c r="S5" s="37">
        <f>IF($C5="","",VLOOKUP($C5,CTBat!$G$10:$BR$203,S$1,FALSE))</f>
        <v>10</v>
      </c>
      <c r="T5" s="38">
        <f>IF($C5="","",VLOOKUP($C5,CTBat!$G$10:$BR$203,T$1,FALSE))</f>
        <v>5</v>
      </c>
      <c r="U5" s="53">
        <f t="shared" si="1"/>
        <v>1</v>
      </c>
      <c r="V5" s="5">
        <f t="shared" ref="V5:V11" si="24">IF($C5="","",IF(OR(AND(AD5&gt;6,AH5&gt;6),AD5+AG5&gt;12),1,0))</f>
        <v>1</v>
      </c>
      <c r="W5" s="5">
        <f t="shared" si="6"/>
        <v>0</v>
      </c>
      <c r="X5" s="5">
        <f t="shared" si="7"/>
        <v>0</v>
      </c>
      <c r="Y5" s="5">
        <f t="shared" si="8"/>
        <v>0</v>
      </c>
      <c r="Z5" s="5">
        <f t="shared" si="9"/>
        <v>0</v>
      </c>
      <c r="AA5" s="5">
        <f t="shared" si="10"/>
        <v>1</v>
      </c>
      <c r="AB5" s="5">
        <f t="shared" si="11"/>
        <v>1</v>
      </c>
      <c r="AC5" s="3">
        <f t="shared" si="12"/>
        <v>1</v>
      </c>
      <c r="AD5" s="37">
        <f>IF($C5="","",VLOOKUP($C5,CTBat!$G$10:$BR$203,AD$1,FALSE))</f>
        <v>6</v>
      </c>
      <c r="AE5" s="37">
        <f>IF($C5="","",VLOOKUP($C5,CTBat!$G$10:$BR$203,AE$1,FALSE))</f>
        <v>7</v>
      </c>
      <c r="AF5" s="37">
        <f>IF($C5="","",VLOOKUP($C5,CTBat!$G$10:$BR$203,AF$1,FALSE))</f>
        <v>6</v>
      </c>
      <c r="AG5" s="37">
        <f>IF($C5="","",VLOOKUP($C5,CTBat!$G$10:$BR$203,AG$1,FALSE))</f>
        <v>7</v>
      </c>
      <c r="AH5" s="37">
        <f>IF($C5="","",VLOOKUP($C5,CTBat!$G$10:$BR$203,AH$1,FALSE))</f>
        <v>5</v>
      </c>
      <c r="AI5" s="58">
        <f>IF($C5="","",VLOOKUP($C5,CTBat!$G$10:$BR$203,AI$1,FALSE))</f>
        <v>10</v>
      </c>
      <c r="AJ5" s="38">
        <f>IF($C5="","",VLOOKUP($C5,CTBat!$G$10:$BR$203,AJ$1,FALSE))</f>
        <v>10</v>
      </c>
      <c r="AK5" s="67">
        <f t="shared" si="13"/>
        <v>6.25</v>
      </c>
      <c r="AL5" s="53">
        <f t="shared" si="14"/>
        <v>1</v>
      </c>
      <c r="AM5" s="5">
        <f t="shared" si="15"/>
        <v>1</v>
      </c>
      <c r="AN5" s="5">
        <f t="shared" si="16"/>
        <v>0</v>
      </c>
      <c r="AO5" s="5">
        <f t="shared" si="17"/>
        <v>0</v>
      </c>
      <c r="AP5" s="5">
        <f t="shared" si="18"/>
        <v>0</v>
      </c>
      <c r="AQ5" s="5">
        <f t="shared" si="19"/>
        <v>0</v>
      </c>
      <c r="AR5" s="5">
        <f t="shared" si="20"/>
        <v>1</v>
      </c>
      <c r="AS5" s="5">
        <f t="shared" si="21"/>
        <v>1</v>
      </c>
      <c r="AT5" s="3">
        <f t="shared" si="22"/>
        <v>1</v>
      </c>
      <c r="AU5" s="58">
        <f>IF($C5="","",VLOOKUP($C5,CTBat!$G$10:$BR$203,AU$1,FALSE))</f>
        <v>6</v>
      </c>
      <c r="AV5" s="37">
        <f>IF($C5="","",VLOOKUP($C5,CTBat!$G$10:$BR$203,AV$1,FALSE))</f>
        <v>7</v>
      </c>
      <c r="AW5" s="37">
        <f>IF($C5="","",VLOOKUP($C5,CTBat!$G$10:$BR$203,AW$1,FALSE))</f>
        <v>6</v>
      </c>
      <c r="AX5" s="37">
        <f>IF($C5="","",VLOOKUP($C5,CTBat!$G$10:$BR$203,AX$1,FALSE))</f>
        <v>7</v>
      </c>
      <c r="AY5" s="38">
        <f>IF($C5="","",VLOOKUP($C5,CTBat!$G$10:$BR$203,AY$1,FALSE))</f>
        <v>5</v>
      </c>
      <c r="AZ5" s="67">
        <f t="shared" si="23"/>
        <v>6.25</v>
      </c>
    </row>
    <row r="6" spans="1:52">
      <c r="A6">
        <v>4</v>
      </c>
      <c r="B6" s="36" t="s">
        <v>100</v>
      </c>
      <c r="C6" s="65" t="s">
        <v>381</v>
      </c>
      <c r="D6" s="37">
        <f>IF($C6="","",VLOOKUP($C6,CTBat!$G$10:$BR$203,D$1,FALSE))</f>
        <v>25</v>
      </c>
      <c r="E6" s="37" t="str">
        <f>IF($C6="","",VLOOKUP($C6,CTBat!$G$10:$BR$203,E$1,FALSE))</f>
        <v>L</v>
      </c>
      <c r="F6" s="53">
        <f t="shared" si="3"/>
        <v>0</v>
      </c>
      <c r="G6" s="5">
        <f t="shared" si="4"/>
        <v>0</v>
      </c>
      <c r="H6" s="5">
        <f t="shared" si="5"/>
        <v>1</v>
      </c>
      <c r="I6" s="5">
        <f t="shared" si="0"/>
        <v>1</v>
      </c>
      <c r="J6" s="58">
        <f>IF($C6="","",VLOOKUP($C6,CTBat!$G$10:$BR$203,J$1,FALSE))</f>
        <v>1</v>
      </c>
      <c r="K6" s="37">
        <f>IF($C6="","",VLOOKUP($C6,CTBat!$G$10:$BR$203,K$1,FALSE))</f>
        <v>1</v>
      </c>
      <c r="L6" s="38">
        <f>IF($C6="","",VLOOKUP($C6,CTBat!$G$10:$BR$203,L$1,FALSE))</f>
        <v>10</v>
      </c>
      <c r="M6" s="37" t="str">
        <f>IF($C6="","",VLOOKUP($C6,CTBat!$G$10:$BR$203,M$1,FALSE))</f>
        <v>-</v>
      </c>
      <c r="N6" s="37" t="str">
        <f>IF($C6="","",VLOOKUP($C6,CTBat!$G$10:$BR$203,N$1,FALSE))</f>
        <v>-</v>
      </c>
      <c r="O6" s="37" t="str">
        <f>IF($C6="","",VLOOKUP($C6,CTBat!$G$10:$BR$203,O$1,FALSE))</f>
        <v>-</v>
      </c>
      <c r="P6" s="37" t="str">
        <f>IF($C6="","",VLOOKUP($C6,CTBat!$G$10:$BR$203,P$1,FALSE))</f>
        <v>-</v>
      </c>
      <c r="Q6" s="37" t="str">
        <f>IF($C6="","",VLOOKUP($C6,CTBat!$G$10:$BR$203,Q$1,FALSE))</f>
        <v>-</v>
      </c>
      <c r="R6" s="37">
        <f>IF($C6="","",VLOOKUP($C6,CTBat!$G$10:$BR$203,R$1,FALSE))</f>
        <v>7</v>
      </c>
      <c r="S6" s="37">
        <f>IF($C6="","",VLOOKUP($C6,CTBat!$G$10:$BR$203,S$1,FALSE))</f>
        <v>9</v>
      </c>
      <c r="T6" s="38">
        <f>IF($C6="","",VLOOKUP($C6,CTBat!$G$10:$BR$203,T$1,FALSE))</f>
        <v>10</v>
      </c>
      <c r="U6" s="53">
        <f t="shared" si="1"/>
        <v>1</v>
      </c>
      <c r="V6" s="5">
        <f t="shared" si="24"/>
        <v>1</v>
      </c>
      <c r="W6" s="5">
        <f t="shared" si="6"/>
        <v>0</v>
      </c>
      <c r="X6" s="5">
        <f t="shared" si="7"/>
        <v>0</v>
      </c>
      <c r="Y6" s="5">
        <f t="shared" si="8"/>
        <v>0</v>
      </c>
      <c r="Z6" s="5">
        <f t="shared" si="9"/>
        <v>1</v>
      </c>
      <c r="AA6" s="5">
        <f t="shared" si="10"/>
        <v>1</v>
      </c>
      <c r="AB6" s="5">
        <f t="shared" si="11"/>
        <v>1</v>
      </c>
      <c r="AC6" s="3">
        <f t="shared" si="12"/>
        <v>1</v>
      </c>
      <c r="AD6" s="37">
        <f>IF($C6="","",VLOOKUP($C6,CTBat!$G$10:$BR$203,AD$1,FALSE))</f>
        <v>10</v>
      </c>
      <c r="AE6" s="37">
        <f>IF($C6="","",VLOOKUP($C6,CTBat!$G$10:$BR$203,AE$1,FALSE))</f>
        <v>7</v>
      </c>
      <c r="AF6" s="37">
        <f>IF($C6="","",VLOOKUP($C6,CTBat!$G$10:$BR$203,AF$1,FALSE))</f>
        <v>4</v>
      </c>
      <c r="AG6" s="37">
        <f>IF($C6="","",VLOOKUP($C6,CTBat!$G$10:$BR$203,AG$1,FALSE))</f>
        <v>6</v>
      </c>
      <c r="AH6" s="37">
        <f>IF($C6="","",VLOOKUP($C6,CTBat!$G$10:$BR$203,AH$1,FALSE))</f>
        <v>8</v>
      </c>
      <c r="AI6" s="58">
        <f>IF($C6="","",VLOOKUP($C6,CTBat!$G$10:$BR$203,AI$1,FALSE))</f>
        <v>7</v>
      </c>
      <c r="AJ6" s="38">
        <f>IF($C6="","",VLOOKUP($C6,CTBat!$G$10:$BR$203,AJ$1,FALSE))</f>
        <v>9</v>
      </c>
      <c r="AK6" s="67">
        <f t="shared" si="13"/>
        <v>7.208333333333333</v>
      </c>
      <c r="AL6" s="53">
        <f t="shared" si="14"/>
        <v>1</v>
      </c>
      <c r="AM6" s="5">
        <f t="shared" si="15"/>
        <v>1</v>
      </c>
      <c r="AN6" s="5">
        <f t="shared" si="16"/>
        <v>0</v>
      </c>
      <c r="AO6" s="5">
        <f t="shared" si="17"/>
        <v>0</v>
      </c>
      <c r="AP6" s="5">
        <f t="shared" si="18"/>
        <v>0</v>
      </c>
      <c r="AQ6" s="5">
        <f t="shared" si="19"/>
        <v>1</v>
      </c>
      <c r="AR6" s="5">
        <f t="shared" si="20"/>
        <v>1</v>
      </c>
      <c r="AS6" s="5">
        <f t="shared" si="21"/>
        <v>1</v>
      </c>
      <c r="AT6" s="3">
        <f t="shared" si="22"/>
        <v>1</v>
      </c>
      <c r="AU6" s="58">
        <f>IF($C6="","",VLOOKUP($C6,CTBat!$G$10:$BR$203,AU$1,FALSE))</f>
        <v>10</v>
      </c>
      <c r="AV6" s="37">
        <f>IF($C6="","",VLOOKUP($C6,CTBat!$G$10:$BR$203,AV$1,FALSE))</f>
        <v>7</v>
      </c>
      <c r="AW6" s="37">
        <f>IF($C6="","",VLOOKUP($C6,CTBat!$G$10:$BR$203,AW$1,FALSE))</f>
        <v>5</v>
      </c>
      <c r="AX6" s="37">
        <f>IF($C6="","",VLOOKUP($C6,CTBat!$G$10:$BR$203,AX$1,FALSE))</f>
        <v>7</v>
      </c>
      <c r="AY6" s="38">
        <f>IF($C6="","",VLOOKUP($C6,CTBat!$G$10:$BR$203,AY$1,FALSE))</f>
        <v>8</v>
      </c>
      <c r="AZ6" s="67">
        <f t="shared" si="23"/>
        <v>7.6527777777777777</v>
      </c>
    </row>
    <row r="7" spans="1:52">
      <c r="A7">
        <v>5</v>
      </c>
      <c r="B7" s="36" t="s">
        <v>18</v>
      </c>
      <c r="C7" s="65" t="s">
        <v>449</v>
      </c>
      <c r="D7" s="37">
        <f>IF($C7="","",VLOOKUP($C7,CTBat!$G$10:$BR$203,D$1,FALSE))</f>
        <v>29</v>
      </c>
      <c r="E7" s="37" t="str">
        <f>IF($C7="","",VLOOKUP($C7,CTBat!$G$10:$BR$203,E$1,FALSE))</f>
        <v>R</v>
      </c>
      <c r="F7" s="53">
        <f t="shared" si="3"/>
        <v>1</v>
      </c>
      <c r="G7" s="5">
        <f t="shared" si="4"/>
        <v>1</v>
      </c>
      <c r="H7" s="5">
        <f t="shared" si="5"/>
        <v>0</v>
      </c>
      <c r="I7" s="5">
        <f t="shared" si="0"/>
        <v>0</v>
      </c>
      <c r="J7" s="58">
        <f>IF($C7="","",VLOOKUP($C7,CTBat!$G$10:$BR$203,J$1,FALSE))</f>
        <v>1</v>
      </c>
      <c r="K7" s="37">
        <f>IF($C7="","",VLOOKUP($C7,CTBat!$G$10:$BR$203,K$1,FALSE))</f>
        <v>3</v>
      </c>
      <c r="L7" s="38">
        <f>IF($C7="","",VLOOKUP($C7,CTBat!$G$10:$BR$203,L$1,FALSE))</f>
        <v>3</v>
      </c>
      <c r="M7" s="37" t="str">
        <f>IF($C7="","",VLOOKUP($C7,CTBat!$G$10:$BR$203,M$1,FALSE))</f>
        <v>-</v>
      </c>
      <c r="N7" s="37">
        <f>IF($C7="","",VLOOKUP($C7,CTBat!$G$10:$BR$203,N$1,FALSE))</f>
        <v>6</v>
      </c>
      <c r="O7" s="37" t="str">
        <f>IF($C7="","",VLOOKUP($C7,CTBat!$G$10:$BR$203,O$1,FALSE))</f>
        <v>-</v>
      </c>
      <c r="P7" s="37" t="str">
        <f>IF($C7="","",VLOOKUP($C7,CTBat!$G$10:$BR$203,P$1,FALSE))</f>
        <v>-</v>
      </c>
      <c r="Q7" s="37" t="str">
        <f>IF($C7="","",VLOOKUP($C7,CTBat!$G$10:$BR$203,Q$1,FALSE))</f>
        <v>-</v>
      </c>
      <c r="R7" s="37" t="str">
        <f>IF($C7="","",VLOOKUP($C7,CTBat!$G$10:$BR$203,R$1,FALSE))</f>
        <v>-</v>
      </c>
      <c r="S7" s="37" t="str">
        <f>IF($C7="","",VLOOKUP($C7,CTBat!$G$10:$BR$203,S$1,FALSE))</f>
        <v>-</v>
      </c>
      <c r="T7" s="38" t="str">
        <f>IF($C7="","",VLOOKUP($C7,CTBat!$G$10:$BR$203,T$1,FALSE))</f>
        <v>-</v>
      </c>
      <c r="U7" s="53">
        <f t="shared" si="1"/>
        <v>0</v>
      </c>
      <c r="V7" s="5">
        <f t="shared" si="24"/>
        <v>0</v>
      </c>
      <c r="W7" s="5">
        <f t="shared" si="6"/>
        <v>0</v>
      </c>
      <c r="X7" s="5">
        <f t="shared" si="7"/>
        <v>0</v>
      </c>
      <c r="Y7" s="5">
        <f t="shared" si="8"/>
        <v>0</v>
      </c>
      <c r="Z7" s="5">
        <f t="shared" si="9"/>
        <v>0</v>
      </c>
      <c r="AA7" s="5">
        <f t="shared" si="10"/>
        <v>1</v>
      </c>
      <c r="AB7" s="5">
        <f t="shared" si="11"/>
        <v>1</v>
      </c>
      <c r="AC7" s="3">
        <f t="shared" si="12"/>
        <v>1</v>
      </c>
      <c r="AD7" s="37">
        <f>IF($C7="","",VLOOKUP($C7,CTBat!$G$10:$BR$203,AD$1,FALSE))</f>
        <v>5</v>
      </c>
      <c r="AE7" s="37">
        <f>IF($C7="","",VLOOKUP($C7,CTBat!$G$10:$BR$203,AE$1,FALSE))</f>
        <v>9</v>
      </c>
      <c r="AF7" s="37">
        <f>IF($C7="","",VLOOKUP($C7,CTBat!$G$10:$BR$203,AF$1,FALSE))</f>
        <v>8</v>
      </c>
      <c r="AG7" s="37">
        <f>IF($C7="","",VLOOKUP($C7,CTBat!$G$10:$BR$203,AG$1,FALSE))</f>
        <v>6</v>
      </c>
      <c r="AH7" s="37">
        <f>IF($C7="","",VLOOKUP($C7,CTBat!$G$10:$BR$203,AH$1,FALSE))</f>
        <v>3</v>
      </c>
      <c r="AI7" s="58">
        <f>IF($C7="","",VLOOKUP($C7,CTBat!$G$10:$BR$203,AI$1,FALSE))</f>
        <v>1</v>
      </c>
      <c r="AJ7" s="38">
        <f>IF($C7="","",VLOOKUP($C7,CTBat!$G$10:$BR$203,AJ$1,FALSE))</f>
        <v>3</v>
      </c>
      <c r="AK7" s="67">
        <f t="shared" si="13"/>
        <v>6.3055555555555554</v>
      </c>
      <c r="AL7" s="53">
        <f t="shared" si="14"/>
        <v>0</v>
      </c>
      <c r="AM7" s="5">
        <f t="shared" si="15"/>
        <v>0</v>
      </c>
      <c r="AN7" s="5">
        <f t="shared" si="16"/>
        <v>0</v>
      </c>
      <c r="AO7" s="5">
        <f t="shared" si="17"/>
        <v>0</v>
      </c>
      <c r="AP7" s="5">
        <f t="shared" si="18"/>
        <v>0</v>
      </c>
      <c r="AQ7" s="5">
        <f t="shared" si="19"/>
        <v>0</v>
      </c>
      <c r="AR7" s="5">
        <f t="shared" si="20"/>
        <v>1</v>
      </c>
      <c r="AS7" s="5">
        <f t="shared" si="21"/>
        <v>1</v>
      </c>
      <c r="AT7" s="3">
        <f t="shared" si="22"/>
        <v>1</v>
      </c>
      <c r="AU7" s="58">
        <f>IF($C7="","",VLOOKUP($C7,CTBat!$G$10:$BR$203,AU$1,FALSE))</f>
        <v>5</v>
      </c>
      <c r="AV7" s="37">
        <f>IF($C7="","",VLOOKUP($C7,CTBat!$G$10:$BR$203,AV$1,FALSE))</f>
        <v>9</v>
      </c>
      <c r="AW7" s="37">
        <f>IF($C7="","",VLOOKUP($C7,CTBat!$G$10:$BR$203,AW$1,FALSE))</f>
        <v>8</v>
      </c>
      <c r="AX7" s="37">
        <f>IF($C7="","",VLOOKUP($C7,CTBat!$G$10:$BR$203,AX$1,FALSE))</f>
        <v>6</v>
      </c>
      <c r="AY7" s="38">
        <f>IF($C7="","",VLOOKUP($C7,CTBat!$G$10:$BR$203,AY$1,FALSE))</f>
        <v>3</v>
      </c>
      <c r="AZ7" s="67">
        <f t="shared" si="23"/>
        <v>6.3055555555555554</v>
      </c>
    </row>
    <row r="8" spans="1:52">
      <c r="A8">
        <v>6</v>
      </c>
      <c r="B8" s="36" t="s">
        <v>101</v>
      </c>
      <c r="C8" s="65" t="s">
        <v>442</v>
      </c>
      <c r="D8" s="37">
        <f>IF($C8="","",VLOOKUP($C8,CTBat!$G$10:$BR$203,D$1,FALSE))</f>
        <v>25</v>
      </c>
      <c r="E8" s="37" t="str">
        <f>IF($C8="","",VLOOKUP($C8,CTBat!$G$10:$BR$203,E$1,FALSE))</f>
        <v>R</v>
      </c>
      <c r="F8" s="53">
        <f t="shared" ref="F8" si="25">IF($C8="","",IF(AND(N8&gt;0,N8=SUM(M8:T8)),1,0))</f>
        <v>0</v>
      </c>
      <c r="G8" s="5">
        <f t="shared" ref="G8" si="26">IF($C8="","",IF(AND(OR(N8&gt;0,R8&gt;0),SUM(N8,R8)=SUM(M8:T8)),1,0))</f>
        <v>0</v>
      </c>
      <c r="H8" s="5">
        <f t="shared" si="5"/>
        <v>0</v>
      </c>
      <c r="I8" s="5">
        <f>IF($C8="","",IF(AND(S8&gt;4,S8&lt;&gt;"-"),1,0))</f>
        <v>0</v>
      </c>
      <c r="J8" s="58">
        <f>IF($C8="","",VLOOKUP($C8,CTBat!$G$10:$BR$203,J$1,FALSE))</f>
        <v>1</v>
      </c>
      <c r="K8" s="37">
        <f>IF($C8="","",VLOOKUP($C8,CTBat!$G$10:$BR$203,K$1,FALSE))</f>
        <v>1</v>
      </c>
      <c r="L8" s="38">
        <f>IF($C8="","",VLOOKUP($C8,CTBat!$G$10:$BR$203,L$1,FALSE))</f>
        <v>5</v>
      </c>
      <c r="M8" s="37" t="str">
        <f>IF($C8="","",VLOOKUP($C8,CTBat!$G$10:$BR$203,M$1,FALSE))</f>
        <v>-</v>
      </c>
      <c r="N8" s="37" t="str">
        <f>IF($C8="","",VLOOKUP($C8,CTBat!$G$10:$BR$203,N$1,FALSE))</f>
        <v>-</v>
      </c>
      <c r="O8" s="37" t="str">
        <f>IF($C8="","",VLOOKUP($C8,CTBat!$G$10:$BR$203,O$1,FALSE))</f>
        <v>-</v>
      </c>
      <c r="P8" s="37" t="str">
        <f>IF($C8="","",VLOOKUP($C8,CTBat!$G$10:$BR$203,P$1,FALSE))</f>
        <v>-</v>
      </c>
      <c r="Q8" s="37" t="str">
        <f>IF($C8="","",VLOOKUP($C8,CTBat!$G$10:$BR$203,Q$1,FALSE))</f>
        <v>-</v>
      </c>
      <c r="R8" s="37">
        <f>IF($C8="","",VLOOKUP($C8,CTBat!$G$10:$BR$203,R$1,FALSE))</f>
        <v>2</v>
      </c>
      <c r="S8" s="37">
        <f>IF($C8="","",VLOOKUP($C8,CTBat!$G$10:$BR$203,S$1,FALSE))</f>
        <v>2</v>
      </c>
      <c r="T8" s="38">
        <f>IF($C8="","",VLOOKUP($C8,CTBat!$G$10:$BR$203,T$1,FALSE))</f>
        <v>6</v>
      </c>
      <c r="U8" s="53">
        <f t="shared" si="1"/>
        <v>0</v>
      </c>
      <c r="V8" s="5">
        <f t="shared" si="24"/>
        <v>1</v>
      </c>
      <c r="W8" s="5">
        <f t="shared" si="6"/>
        <v>0</v>
      </c>
      <c r="X8" s="5">
        <f t="shared" si="7"/>
        <v>0</v>
      </c>
      <c r="Y8" s="5">
        <f t="shared" si="8"/>
        <v>0</v>
      </c>
      <c r="Z8" s="5">
        <f t="shared" si="9"/>
        <v>1</v>
      </c>
      <c r="AA8" s="5">
        <f t="shared" si="10"/>
        <v>1</v>
      </c>
      <c r="AB8" s="5">
        <f t="shared" si="11"/>
        <v>1</v>
      </c>
      <c r="AC8" s="3">
        <f t="shared" si="12"/>
        <v>1</v>
      </c>
      <c r="AD8" s="37">
        <f>IF($C8="","",VLOOKUP($C8,CTBat!$G$10:$BR$203,AD$1,FALSE))</f>
        <v>7</v>
      </c>
      <c r="AE8" s="37">
        <f>IF($C8="","",VLOOKUP($C8,CTBat!$G$10:$BR$203,AE$1,FALSE))</f>
        <v>6</v>
      </c>
      <c r="AF8" s="37">
        <f>IF($C8="","",VLOOKUP($C8,CTBat!$G$10:$BR$203,AF$1,FALSE))</f>
        <v>6</v>
      </c>
      <c r="AG8" s="37">
        <f>IF($C8="","",VLOOKUP($C8,CTBat!$G$10:$BR$203,AG$1,FALSE))</f>
        <v>6</v>
      </c>
      <c r="AH8" s="37">
        <f>IF($C8="","",VLOOKUP($C8,CTBat!$G$10:$BR$203,AH$1,FALSE))</f>
        <v>8</v>
      </c>
      <c r="AI8" s="58">
        <f>IF($C8="","",VLOOKUP($C8,CTBat!$G$10:$BR$203,AI$1,FALSE))</f>
        <v>3</v>
      </c>
      <c r="AJ8" s="38">
        <f>IF($C8="","",VLOOKUP($C8,CTBat!$G$10:$BR$203,AJ$1,FALSE))</f>
        <v>5</v>
      </c>
      <c r="AK8" s="67">
        <f t="shared" si="13"/>
        <v>6.5</v>
      </c>
      <c r="AL8" s="53">
        <f t="shared" si="14"/>
        <v>0</v>
      </c>
      <c r="AM8" s="5">
        <f t="shared" si="15"/>
        <v>1</v>
      </c>
      <c r="AN8" s="5">
        <f t="shared" si="16"/>
        <v>0</v>
      </c>
      <c r="AO8" s="5">
        <f t="shared" si="17"/>
        <v>0</v>
      </c>
      <c r="AP8" s="5">
        <f t="shared" si="18"/>
        <v>0</v>
      </c>
      <c r="AQ8" s="5">
        <f t="shared" si="19"/>
        <v>1</v>
      </c>
      <c r="AR8" s="5">
        <f t="shared" si="20"/>
        <v>1</v>
      </c>
      <c r="AS8" s="5">
        <f t="shared" si="21"/>
        <v>1</v>
      </c>
      <c r="AT8" s="3">
        <f t="shared" si="22"/>
        <v>1</v>
      </c>
      <c r="AU8" s="58">
        <f>IF($C8="","",VLOOKUP($C8,CTBat!$G$10:$BR$203,AU$1,FALSE))</f>
        <v>7</v>
      </c>
      <c r="AV8" s="37">
        <f>IF($C8="","",VLOOKUP($C8,CTBat!$G$10:$BR$203,AV$1,FALSE))</f>
        <v>7</v>
      </c>
      <c r="AW8" s="37">
        <f>IF($C8="","",VLOOKUP($C8,CTBat!$G$10:$BR$203,AW$1,FALSE))</f>
        <v>6</v>
      </c>
      <c r="AX8" s="37">
        <f>IF($C8="","",VLOOKUP($C8,CTBat!$G$10:$BR$203,AX$1,FALSE))</f>
        <v>6</v>
      </c>
      <c r="AY8" s="38">
        <f>IF($C8="","",VLOOKUP($C8,CTBat!$G$10:$BR$203,AY$1,FALSE))</f>
        <v>8</v>
      </c>
      <c r="AZ8" s="67">
        <f t="shared" si="23"/>
        <v>6.625</v>
      </c>
    </row>
    <row r="9" spans="1:52">
      <c r="A9">
        <v>7</v>
      </c>
      <c r="B9" s="36" t="s">
        <v>101</v>
      </c>
      <c r="C9" s="65" t="s">
        <v>382</v>
      </c>
      <c r="D9" s="37">
        <f>IF($C9="","",VLOOKUP($C9,CTBat!$G$10:$BR$203,D$1,FALSE))</f>
        <v>25</v>
      </c>
      <c r="E9" s="37" t="str">
        <f>IF($C9="","",VLOOKUP($C9,CTBat!$G$10:$BR$203,E$1,FALSE))</f>
        <v>R</v>
      </c>
      <c r="F9" s="53">
        <f t="shared" si="3"/>
        <v>0</v>
      </c>
      <c r="G9" s="5">
        <f t="shared" si="4"/>
        <v>0</v>
      </c>
      <c r="H9" s="5">
        <f t="shared" si="5"/>
        <v>1</v>
      </c>
      <c r="I9" s="5">
        <f t="shared" ref="I9:I11" si="27">IF($C9="","",IF(AND(S9&gt;4,S9&lt;&gt;"-"),1,0))</f>
        <v>1</v>
      </c>
      <c r="J9" s="58">
        <f>IF($C9="","",VLOOKUP($C9,CTBat!$G$10:$BR$203,J$1,FALSE))</f>
        <v>1</v>
      </c>
      <c r="K9" s="37">
        <f>IF($C9="","",VLOOKUP($C9,CTBat!$G$10:$BR$203,K$1,FALSE))</f>
        <v>1</v>
      </c>
      <c r="L9" s="38">
        <f>IF($C9="","",VLOOKUP($C9,CTBat!$G$10:$BR$203,L$1,FALSE))</f>
        <v>8</v>
      </c>
      <c r="M9" s="37" t="str">
        <f>IF($C9="","",VLOOKUP($C9,CTBat!$G$10:$BR$203,M$1,FALSE))</f>
        <v>-</v>
      </c>
      <c r="N9" s="37" t="str">
        <f>IF($C9="","",VLOOKUP($C9,CTBat!$G$10:$BR$203,N$1,FALSE))</f>
        <v>-</v>
      </c>
      <c r="O9" s="37" t="str">
        <f>IF($C9="","",VLOOKUP($C9,CTBat!$G$10:$BR$203,O$1,FALSE))</f>
        <v>-</v>
      </c>
      <c r="P9" s="37" t="str">
        <f>IF($C9="","",VLOOKUP($C9,CTBat!$G$10:$BR$203,P$1,FALSE))</f>
        <v>-</v>
      </c>
      <c r="Q9" s="37" t="str">
        <f>IF($C9="","",VLOOKUP($C9,CTBat!$G$10:$BR$203,Q$1,FALSE))</f>
        <v>-</v>
      </c>
      <c r="R9" s="37">
        <f>IF($C9="","",VLOOKUP($C9,CTBat!$G$10:$BR$203,R$1,FALSE))</f>
        <v>10</v>
      </c>
      <c r="S9" s="37">
        <f>IF($C9="","",VLOOKUP($C9,CTBat!$G$10:$BR$203,S$1,FALSE))</f>
        <v>7</v>
      </c>
      <c r="T9" s="38">
        <f>IF($C9="","",VLOOKUP($C9,CTBat!$G$10:$BR$203,T$1,FALSE))</f>
        <v>8</v>
      </c>
      <c r="U9" s="53">
        <f t="shared" si="1"/>
        <v>0</v>
      </c>
      <c r="V9" s="5">
        <f t="shared" si="24"/>
        <v>0</v>
      </c>
      <c r="W9" s="5">
        <f t="shared" si="6"/>
        <v>0</v>
      </c>
      <c r="X9" s="5">
        <f t="shared" si="7"/>
        <v>0</v>
      </c>
      <c r="Y9" s="5">
        <f t="shared" si="8"/>
        <v>0</v>
      </c>
      <c r="Z9" s="5">
        <f t="shared" si="9"/>
        <v>0</v>
      </c>
      <c r="AA9" s="5">
        <f t="shared" si="10"/>
        <v>0</v>
      </c>
      <c r="AB9" s="5">
        <f t="shared" si="11"/>
        <v>0</v>
      </c>
      <c r="AC9" s="3">
        <f t="shared" si="12"/>
        <v>0</v>
      </c>
      <c r="AD9" s="37">
        <f>IF($C9="","",VLOOKUP($C9,CTBat!$G$10:$BR$203,AD$1,FALSE))</f>
        <v>5</v>
      </c>
      <c r="AE9" s="37">
        <f>IF($C9="","",VLOOKUP($C9,CTBat!$G$10:$BR$203,AE$1,FALSE))</f>
        <v>4</v>
      </c>
      <c r="AF9" s="37">
        <f>IF($C9="","",VLOOKUP($C9,CTBat!$G$10:$BR$203,AF$1,FALSE))</f>
        <v>6</v>
      </c>
      <c r="AG9" s="37">
        <f>IF($C9="","",VLOOKUP($C9,CTBat!$G$10:$BR$203,AG$1,FALSE))</f>
        <v>4</v>
      </c>
      <c r="AH9" s="37">
        <f>IF($C9="","",VLOOKUP($C9,CTBat!$G$10:$BR$203,AH$1,FALSE))</f>
        <v>4</v>
      </c>
      <c r="AI9" s="58">
        <f>IF($C9="","",VLOOKUP($C9,CTBat!$G$10:$BR$203,AI$1,FALSE))</f>
        <v>9</v>
      </c>
      <c r="AJ9" s="38">
        <f>IF($C9="","",VLOOKUP($C9,CTBat!$G$10:$BR$203,AJ$1,FALSE))</f>
        <v>9</v>
      </c>
      <c r="AK9" s="67">
        <f t="shared" si="13"/>
        <v>4.8611111111111107</v>
      </c>
      <c r="AL9" s="53">
        <f t="shared" si="14"/>
        <v>0</v>
      </c>
      <c r="AM9" s="5">
        <f t="shared" si="15"/>
        <v>0</v>
      </c>
      <c r="AN9" s="5">
        <f t="shared" si="16"/>
        <v>0</v>
      </c>
      <c r="AO9" s="5">
        <f t="shared" si="17"/>
        <v>0</v>
      </c>
      <c r="AP9" s="5">
        <f t="shared" si="18"/>
        <v>0</v>
      </c>
      <c r="AQ9" s="5">
        <f t="shared" si="19"/>
        <v>0</v>
      </c>
      <c r="AR9" s="5">
        <f t="shared" si="20"/>
        <v>1</v>
      </c>
      <c r="AS9" s="5">
        <f t="shared" si="21"/>
        <v>1</v>
      </c>
      <c r="AT9" s="3">
        <f t="shared" si="22"/>
        <v>1</v>
      </c>
      <c r="AU9" s="58">
        <f>IF($C9="","",VLOOKUP($C9,CTBat!$G$10:$BR$203,AU$1,FALSE))</f>
        <v>5</v>
      </c>
      <c r="AV9" s="37">
        <f>IF($C9="","",VLOOKUP($C9,CTBat!$G$10:$BR$203,AV$1,FALSE))</f>
        <v>5</v>
      </c>
      <c r="AW9" s="37">
        <f>IF($C9="","",VLOOKUP($C9,CTBat!$G$10:$BR$203,AW$1,FALSE))</f>
        <v>8</v>
      </c>
      <c r="AX9" s="37">
        <f>IF($C9="","",VLOOKUP($C9,CTBat!$G$10:$BR$203,AX$1,FALSE))</f>
        <v>5</v>
      </c>
      <c r="AY9" s="38">
        <f>IF($C9="","",VLOOKUP($C9,CTBat!$G$10:$BR$203,AY$1,FALSE))</f>
        <v>4</v>
      </c>
      <c r="AZ9" s="67">
        <f t="shared" si="23"/>
        <v>5.6805555555555554</v>
      </c>
    </row>
    <row r="10" spans="1:52">
      <c r="A10">
        <v>8</v>
      </c>
      <c r="B10" s="36" t="s">
        <v>101</v>
      </c>
      <c r="C10" s="65" t="s">
        <v>440</v>
      </c>
      <c r="D10" s="37">
        <f>IF($C10="","",VLOOKUP($C10,CTBat!$G$10:$BR$203,D$1,FALSE))</f>
        <v>23</v>
      </c>
      <c r="E10" s="37" t="str">
        <f>IF($C10="","",VLOOKUP($C10,CTBat!$G$10:$BR$203,E$1,FALSE))</f>
        <v>R</v>
      </c>
      <c r="F10" s="53">
        <f t="shared" ref="F10" si="28">IF($C10="","",IF(AND(N10&gt;0,N10=SUM(M10:T10)),1,0))</f>
        <v>1</v>
      </c>
      <c r="G10" s="5">
        <f t="shared" ref="G10" si="29">IF($C10="","",IF(AND(OR(N10&gt;0,R10&gt;0),SUM(N10,R10)=SUM(M10:T10)),1,0))</f>
        <v>1</v>
      </c>
      <c r="H10" s="5">
        <f t="shared" ref="H10" si="30">IF($C10="","",IF(L10&gt;6,1,0))</f>
        <v>0</v>
      </c>
      <c r="I10" s="5">
        <f t="shared" si="27"/>
        <v>0</v>
      </c>
      <c r="J10" s="58">
        <f>IF($C10="","",VLOOKUP($C10,CTBat!$G$10:$BR$203,J$1,FALSE))</f>
        <v>1</v>
      </c>
      <c r="K10" s="37">
        <f>IF($C10="","",VLOOKUP($C10,CTBat!$G$10:$BR$203,K$1,FALSE))</f>
        <v>5</v>
      </c>
      <c r="L10" s="38">
        <f>IF($C10="","",VLOOKUP($C10,CTBat!$G$10:$BR$203,L$1,FALSE))</f>
        <v>3</v>
      </c>
      <c r="M10" s="37" t="str">
        <f>IF($C10="","",VLOOKUP($C10,CTBat!$G$10:$BR$203,M$1,FALSE))</f>
        <v>-</v>
      </c>
      <c r="N10" s="37">
        <f>IF($C10="","",VLOOKUP($C10,CTBat!$G$10:$BR$203,N$1,FALSE))</f>
        <v>7</v>
      </c>
      <c r="O10" s="37" t="str">
        <f>IF($C10="","",VLOOKUP($C10,CTBat!$G$10:$BR$203,O$1,FALSE))</f>
        <v>-</v>
      </c>
      <c r="P10" s="37" t="str">
        <f>IF($C10="","",VLOOKUP($C10,CTBat!$G$10:$BR$203,P$1,FALSE))</f>
        <v>-</v>
      </c>
      <c r="Q10" s="37" t="str">
        <f>IF($C10="","",VLOOKUP($C10,CTBat!$G$10:$BR$203,Q$1,FALSE))</f>
        <v>-</v>
      </c>
      <c r="R10" s="37" t="str">
        <f>IF($C10="","",VLOOKUP($C10,CTBat!$G$10:$BR$203,R$1,FALSE))</f>
        <v>-</v>
      </c>
      <c r="S10" s="37" t="str">
        <f>IF($C10="","",VLOOKUP($C10,CTBat!$G$10:$BR$203,S$1,FALSE))</f>
        <v>-</v>
      </c>
      <c r="T10" s="38" t="str">
        <f>IF($C10="","",VLOOKUP($C10,CTBat!$G$10:$BR$203,T$1,FALSE))</f>
        <v>-</v>
      </c>
      <c r="U10" s="53">
        <f t="shared" si="1"/>
        <v>1</v>
      </c>
      <c r="V10" s="5">
        <f t="shared" si="24"/>
        <v>1</v>
      </c>
      <c r="W10" s="5">
        <f t="shared" ref="W10" si="31">IF($C10="","",IF(AND(AD10&gt;6,AF10&gt;6,AG10&gt;6),1,0))</f>
        <v>0</v>
      </c>
      <c r="X10" s="5">
        <f t="shared" si="7"/>
        <v>0</v>
      </c>
      <c r="Y10" s="5">
        <f t="shared" si="8"/>
        <v>0</v>
      </c>
      <c r="Z10" s="5">
        <f t="shared" si="9"/>
        <v>1</v>
      </c>
      <c r="AA10" s="5">
        <f t="shared" si="10"/>
        <v>1</v>
      </c>
      <c r="AB10" s="5">
        <f t="shared" si="11"/>
        <v>1</v>
      </c>
      <c r="AC10" s="3">
        <f t="shared" si="12"/>
        <v>1</v>
      </c>
      <c r="AD10" s="37">
        <f>IF($C10="","",VLOOKUP($C10,CTBat!$G$10:$BR$203,AD$1,FALSE))</f>
        <v>7</v>
      </c>
      <c r="AE10" s="37">
        <f>IF($C10="","",VLOOKUP($C10,CTBat!$G$10:$BR$203,AE$1,FALSE))</f>
        <v>6</v>
      </c>
      <c r="AF10" s="37">
        <f>IF($C10="","",VLOOKUP($C10,CTBat!$G$10:$BR$203,AF$1,FALSE))</f>
        <v>5</v>
      </c>
      <c r="AG10" s="37">
        <f>IF($C10="","",VLOOKUP($C10,CTBat!$G$10:$BR$203,AG$1,FALSE))</f>
        <v>8</v>
      </c>
      <c r="AH10" s="37">
        <f>IF($C10="","",VLOOKUP($C10,CTBat!$G$10:$BR$203,AH$1,FALSE))</f>
        <v>9</v>
      </c>
      <c r="AI10" s="58">
        <f>IF($C10="","",VLOOKUP($C10,CTBat!$G$10:$BR$203,AI$1,FALSE))</f>
        <v>5</v>
      </c>
      <c r="AJ10" s="38">
        <f>IF($C10="","",VLOOKUP($C10,CTBat!$G$10:$BR$203,AJ$1,FALSE))</f>
        <v>5</v>
      </c>
      <c r="AK10" s="67">
        <f t="shared" si="13"/>
        <v>6.708333333333333</v>
      </c>
      <c r="AL10" s="53">
        <f t="shared" si="14"/>
        <v>0</v>
      </c>
      <c r="AM10" s="5">
        <f t="shared" si="15"/>
        <v>1</v>
      </c>
      <c r="AN10" s="5">
        <f t="shared" si="16"/>
        <v>1</v>
      </c>
      <c r="AO10" s="5">
        <f t="shared" si="17"/>
        <v>0</v>
      </c>
      <c r="AP10" s="5">
        <f t="shared" si="18"/>
        <v>1</v>
      </c>
      <c r="AQ10" s="5">
        <f t="shared" si="19"/>
        <v>1</v>
      </c>
      <c r="AR10" s="5">
        <f t="shared" si="20"/>
        <v>1</v>
      </c>
      <c r="AS10" s="5">
        <f t="shared" si="21"/>
        <v>1</v>
      </c>
      <c r="AT10" s="3">
        <f t="shared" si="22"/>
        <v>1</v>
      </c>
      <c r="AU10" s="58">
        <f>IF($C10="","",VLOOKUP($C10,CTBat!$G$10:$BR$203,AU$1,FALSE))</f>
        <v>8</v>
      </c>
      <c r="AV10" s="37">
        <f>IF($C10="","",VLOOKUP($C10,CTBat!$G$10:$BR$203,AV$1,FALSE))</f>
        <v>6</v>
      </c>
      <c r="AW10" s="37">
        <f>IF($C10="","",VLOOKUP($C10,CTBat!$G$10:$BR$203,AW$1,FALSE))</f>
        <v>7</v>
      </c>
      <c r="AX10" s="37">
        <f>IF($C10="","",VLOOKUP($C10,CTBat!$G$10:$BR$203,AX$1,FALSE))</f>
        <v>10</v>
      </c>
      <c r="AY10" s="38">
        <f>IF($C10="","",VLOOKUP($C10,CTBat!$G$10:$BR$203,AY$1,FALSE))</f>
        <v>10</v>
      </c>
      <c r="AZ10" s="67">
        <f t="shared" si="23"/>
        <v>8.0277777777777786</v>
      </c>
    </row>
    <row r="11" spans="1:52">
      <c r="A11">
        <v>9</v>
      </c>
      <c r="B11" s="39" t="s">
        <v>101</v>
      </c>
      <c r="C11" s="40"/>
      <c r="D11" s="40" t="str">
        <f>IF($C11="","",VLOOKUP($C11,CTBat!$G$10:$BR$203,D$1,FALSE))</f>
        <v/>
      </c>
      <c r="E11" s="40" t="str">
        <f>IF($C11="","",VLOOKUP($C11,CTBat!$G$10:$BR$203,E$1,FALSE))</f>
        <v/>
      </c>
      <c r="F11" s="54" t="str">
        <f t="shared" si="3"/>
        <v/>
      </c>
      <c r="G11" s="41" t="str">
        <f t="shared" si="4"/>
        <v/>
      </c>
      <c r="H11" s="41" t="str">
        <f t="shared" si="5"/>
        <v/>
      </c>
      <c r="I11" s="41" t="str">
        <f t="shared" si="27"/>
        <v/>
      </c>
      <c r="J11" s="59" t="str">
        <f>IF($C11="","",VLOOKUP($C11,CTBat!$G$10:$BR$203,J$1,FALSE))</f>
        <v/>
      </c>
      <c r="K11" s="40" t="str">
        <f>IF($C11="","",VLOOKUP($C11,CTBat!$G$10:$BR$203,K$1,FALSE))</f>
        <v/>
      </c>
      <c r="L11" s="42" t="str">
        <f>IF($C11="","",VLOOKUP($C11,CTBat!$G$10:$BR$203,L$1,FALSE))</f>
        <v/>
      </c>
      <c r="M11" s="40" t="str">
        <f>IF($C11="","",VLOOKUP($C11,CTBat!$G$10:$BR$203,M$1,FALSE))</f>
        <v/>
      </c>
      <c r="N11" s="40" t="str">
        <f>IF($C11="","",VLOOKUP($C11,CTBat!$G$10:$BR$203,N$1,FALSE))</f>
        <v/>
      </c>
      <c r="O11" s="40" t="str">
        <f>IF($C11="","",VLOOKUP($C11,CTBat!$G$10:$BR$203,O$1,FALSE))</f>
        <v/>
      </c>
      <c r="P11" s="40" t="str">
        <f>IF($C11="","",VLOOKUP($C11,CTBat!$G$10:$BR$203,P$1,FALSE))</f>
        <v/>
      </c>
      <c r="Q11" s="40" t="str">
        <f>IF($C11="","",VLOOKUP($C11,CTBat!$G$10:$BR$203,Q$1,FALSE))</f>
        <v/>
      </c>
      <c r="R11" s="40" t="str">
        <f>IF($C11="","",VLOOKUP($C11,CTBat!$G$10:$BR$203,R$1,FALSE))</f>
        <v/>
      </c>
      <c r="S11" s="40" t="str">
        <f>IF($C11="","",VLOOKUP($C11,CTBat!$G$10:$BR$203,S$1,FALSE))</f>
        <v/>
      </c>
      <c r="T11" s="42" t="str">
        <f>IF($C11="","",VLOOKUP($C11,CTBat!$G$10:$BR$203,T$1,FALSE))</f>
        <v/>
      </c>
      <c r="U11" s="54" t="str">
        <f t="shared" si="1"/>
        <v/>
      </c>
      <c r="V11" s="41" t="str">
        <f t="shared" si="24"/>
        <v/>
      </c>
      <c r="W11" s="41" t="str">
        <f t="shared" si="6"/>
        <v/>
      </c>
      <c r="X11" s="41" t="str">
        <f t="shared" si="7"/>
        <v/>
      </c>
      <c r="Y11" s="41" t="str">
        <f t="shared" si="8"/>
        <v/>
      </c>
      <c r="Z11" s="41" t="str">
        <f t="shared" si="9"/>
        <v/>
      </c>
      <c r="AA11" s="41" t="str">
        <f t="shared" si="10"/>
        <v/>
      </c>
      <c r="AB11" s="41" t="str">
        <f t="shared" si="11"/>
        <v/>
      </c>
      <c r="AC11" s="62" t="str">
        <f t="shared" si="12"/>
        <v/>
      </c>
      <c r="AD11" s="40" t="str">
        <f>IF($C11="","",VLOOKUP($C11,CTBat!$G$10:$BR$203,AD$1,FALSE))</f>
        <v/>
      </c>
      <c r="AE11" s="40" t="str">
        <f>IF($C11="","",VLOOKUP($C11,CTBat!$G$10:$BR$203,AE$1,FALSE))</f>
        <v/>
      </c>
      <c r="AF11" s="40" t="str">
        <f>IF($C11="","",VLOOKUP($C11,CTBat!$G$10:$BR$203,AF$1,FALSE))</f>
        <v/>
      </c>
      <c r="AG11" s="40" t="str">
        <f>IF($C11="","",VLOOKUP($C11,CTBat!$G$10:$BR$203,AG$1,FALSE))</f>
        <v/>
      </c>
      <c r="AH11" s="40" t="str">
        <f>IF($C11="","",VLOOKUP($C11,CTBat!$G$10:$BR$203,AH$1,FALSE))</f>
        <v/>
      </c>
      <c r="AI11" s="59" t="str">
        <f>IF($C11="","",VLOOKUP($C11,CTBat!$G$10:$BR$203,AI$1,FALSE))</f>
        <v/>
      </c>
      <c r="AJ11" s="42" t="str">
        <f>IF($C11="","",VLOOKUP($C11,CTBat!$G$10:$BR$203,AJ$1,FALSE))</f>
        <v/>
      </c>
      <c r="AK11" s="68" t="str">
        <f t="shared" si="13"/>
        <v/>
      </c>
      <c r="AL11" s="54" t="str">
        <f t="shared" si="14"/>
        <v/>
      </c>
      <c r="AM11" s="41" t="str">
        <f t="shared" si="15"/>
        <v/>
      </c>
      <c r="AN11" s="41" t="str">
        <f t="shared" si="16"/>
        <v/>
      </c>
      <c r="AO11" s="41" t="str">
        <f t="shared" si="17"/>
        <v/>
      </c>
      <c r="AP11" s="41" t="str">
        <f t="shared" si="18"/>
        <v/>
      </c>
      <c r="AQ11" s="41" t="str">
        <f t="shared" si="19"/>
        <v/>
      </c>
      <c r="AR11" s="41" t="str">
        <f t="shared" si="20"/>
        <v/>
      </c>
      <c r="AS11" s="41" t="str">
        <f t="shared" si="21"/>
        <v/>
      </c>
      <c r="AT11" s="62" t="str">
        <f t="shared" si="22"/>
        <v/>
      </c>
      <c r="AU11" s="59" t="str">
        <f>IF($C11="","",VLOOKUP($C11,CTBat!$G$10:$BR$203,AU$1,FALSE))</f>
        <v/>
      </c>
      <c r="AV11" s="40" t="str">
        <f>IF($C11="","",VLOOKUP($C11,CTBat!$G$10:$BR$203,AV$1,FALSE))</f>
        <v/>
      </c>
      <c r="AW11" s="40" t="str">
        <f>IF($C11="","",VLOOKUP($C11,CTBat!$G$10:$BR$203,AW$1,FALSE))</f>
        <v/>
      </c>
      <c r="AX11" s="40" t="str">
        <f>IF($C11="","",VLOOKUP($C11,CTBat!$G$10:$BR$203,AX$1,FALSE))</f>
        <v/>
      </c>
      <c r="AY11" s="42" t="str">
        <f>IF($C11="","",VLOOKUP($C11,CTBat!$G$10:$BR$203,AY$1,FALSE))</f>
        <v/>
      </c>
      <c r="AZ11" s="68" t="str">
        <f t="shared" si="23"/>
        <v/>
      </c>
    </row>
    <row r="13" spans="1:52" s="24" customFormat="1" ht="196.5">
      <c r="A13" s="25" t="s">
        <v>193</v>
      </c>
      <c r="B13" s="43" t="s">
        <v>125</v>
      </c>
      <c r="C13" s="44" t="str">
        <f>"Player ("&amp;COUNTA(C14:C19)&amp;")"</f>
        <v>Player (5)</v>
      </c>
      <c r="D13" s="44" t="s">
        <v>91</v>
      </c>
      <c r="E13" s="44" t="s">
        <v>101</v>
      </c>
      <c r="F13" s="51" t="str">
        <f>"Only 1 guy who only plays 2B ("&amp;SUM(F14:F19)&amp;")"</f>
        <v>Only 1 guy who only plays 2B (0)</v>
      </c>
      <c r="G13" s="46" t="str">
        <f>"2 Guys Who Play SS ("&amp;SUM(G14:G19)&amp;")"</f>
        <v>2 Guys Who Play SS (4)</v>
      </c>
      <c r="H13" s="46" t="str">
        <f>"2 guys with 3B arm ("&amp;SUM(H14:H19)&amp;")"</f>
        <v>2 guys with 3B arm (4)</v>
      </c>
      <c r="I13" s="49" t="s">
        <v>41</v>
      </c>
      <c r="J13" s="47" t="s">
        <v>136</v>
      </c>
      <c r="K13" s="47" t="s">
        <v>134</v>
      </c>
      <c r="L13" s="47" t="s">
        <v>135</v>
      </c>
      <c r="M13" s="63" t="s">
        <v>92</v>
      </c>
      <c r="N13" s="48" t="s">
        <v>94</v>
      </c>
      <c r="O13" s="48" t="s">
        <v>95</v>
      </c>
      <c r="P13" s="48" t="s">
        <v>96</v>
      </c>
      <c r="Q13" s="48" t="s">
        <v>97</v>
      </c>
      <c r="R13" s="48" t="s">
        <v>98</v>
      </c>
      <c r="S13" s="48" t="s">
        <v>99</v>
      </c>
      <c r="T13" s="49" t="s">
        <v>100</v>
      </c>
      <c r="U13" s="45" t="s">
        <v>137</v>
      </c>
      <c r="V13" s="45" t="s">
        <v>181</v>
      </c>
      <c r="W13" s="45" t="s">
        <v>138</v>
      </c>
      <c r="X13" s="45" t="s">
        <v>139</v>
      </c>
      <c r="Y13" s="45" t="s">
        <v>140</v>
      </c>
      <c r="Z13" s="45" t="s">
        <v>141</v>
      </c>
      <c r="AA13" s="45" t="s">
        <v>142</v>
      </c>
      <c r="AB13" s="45" t="s">
        <v>144</v>
      </c>
      <c r="AC13" s="45" t="s">
        <v>143</v>
      </c>
      <c r="AD13" s="63" t="s">
        <v>147</v>
      </c>
      <c r="AE13" s="48" t="s">
        <v>148</v>
      </c>
      <c r="AF13" s="48" t="s">
        <v>149</v>
      </c>
      <c r="AG13" s="48" t="s">
        <v>150</v>
      </c>
      <c r="AH13" s="48" t="s">
        <v>29</v>
      </c>
      <c r="AI13" s="48" t="s">
        <v>151</v>
      </c>
      <c r="AJ13" s="49" t="s">
        <v>152</v>
      </c>
      <c r="AK13" s="66" t="s">
        <v>157</v>
      </c>
      <c r="AL13" s="45" t="s">
        <v>137</v>
      </c>
      <c r="AM13" s="45" t="s">
        <v>181</v>
      </c>
      <c r="AN13" s="45" t="s">
        <v>138</v>
      </c>
      <c r="AO13" s="45" t="s">
        <v>139</v>
      </c>
      <c r="AP13" s="45" t="s">
        <v>140</v>
      </c>
      <c r="AQ13" s="45" t="s">
        <v>141</v>
      </c>
      <c r="AR13" s="45" t="s">
        <v>142</v>
      </c>
      <c r="AS13" s="45" t="s">
        <v>144</v>
      </c>
      <c r="AT13" s="45" t="s">
        <v>143</v>
      </c>
      <c r="AU13" s="63" t="s">
        <v>147</v>
      </c>
      <c r="AV13" s="48" t="s">
        <v>148</v>
      </c>
      <c r="AW13" s="48" t="s">
        <v>149</v>
      </c>
      <c r="AX13" s="48" t="s">
        <v>150</v>
      </c>
      <c r="AY13" s="49" t="s">
        <v>29</v>
      </c>
      <c r="AZ13" s="66" t="s">
        <v>197</v>
      </c>
    </row>
    <row r="14" spans="1:52">
      <c r="A14">
        <v>1</v>
      </c>
      <c r="B14" s="36" t="s">
        <v>95</v>
      </c>
      <c r="C14" s="37" t="s">
        <v>51</v>
      </c>
      <c r="D14" s="37">
        <f>IF($C14="","",VLOOKUP($C14,CTBat!$G$10:$BR$203,D$1,FALSE))</f>
        <v>29</v>
      </c>
      <c r="E14" s="33" t="str">
        <f>IF($C14="","",VLOOKUP($C14,CTBat!$G$10:$BR$203,E$1,FALSE))</f>
        <v>R</v>
      </c>
      <c r="F14" s="53">
        <f>IF($C14="","",IF(AND(O14&gt;0,O14=SUM(M14:T14)),1,0))</f>
        <v>0</v>
      </c>
      <c r="G14" s="5">
        <f t="shared" ref="G14:G18" si="32">IF($C14="","",IF(Q14&lt;&gt;"-",1,0))</f>
        <v>1</v>
      </c>
      <c r="H14" s="5">
        <f>IF($C14="","",IF(AND(K14&gt;5,P14&lt;&gt;"-"),1,0))</f>
        <v>0</v>
      </c>
      <c r="I14" s="3" t="str">
        <f>IF($C14="","","-")</f>
        <v>-</v>
      </c>
      <c r="J14" s="37">
        <f>IF($C14="","",VLOOKUP($C14,CTBat!$G$10:$BR$203,J$1,FALSE))</f>
        <v>1</v>
      </c>
      <c r="K14" s="37">
        <f>IF($C14="","",VLOOKUP($C14,CTBat!$G$10:$BR$203,K$1,FALSE))</f>
        <v>5</v>
      </c>
      <c r="L14" s="37">
        <f>IF($C14="","",VLOOKUP($C14,CTBat!$G$10:$BR$203,L$1,FALSE))</f>
        <v>3</v>
      </c>
      <c r="M14" s="58" t="str">
        <f>IF($C14="","",VLOOKUP($C14,CTBat!$G$10:$BR$203,M$1,FALSE))</f>
        <v>-</v>
      </c>
      <c r="N14" s="37">
        <f>IF($C14="","",VLOOKUP($C14,CTBat!$G$10:$BR$203,N$1,FALSE))</f>
        <v>8</v>
      </c>
      <c r="O14" s="37">
        <f>IF($C14="","",VLOOKUP($C14,CTBat!$G$10:$BR$203,O$1,FALSE))</f>
        <v>7</v>
      </c>
      <c r="P14" s="37">
        <f>IF($C14="","",VLOOKUP($C14,CTBat!$G$10:$BR$203,P$1,FALSE))</f>
        <v>4</v>
      </c>
      <c r="Q14" s="37">
        <f>IF($C14="","",VLOOKUP($C14,CTBat!$G$10:$BR$203,Q$1,FALSE))</f>
        <v>2</v>
      </c>
      <c r="R14" s="37" t="str">
        <f>IF($C14="","",VLOOKUP($C14,CTBat!$G$10:$BR$203,R$1,FALSE))</f>
        <v>-</v>
      </c>
      <c r="S14" s="37" t="str">
        <f>IF($C14="","",VLOOKUP($C14,CTBat!$G$10:$BR$203,S$1,FALSE))</f>
        <v>-</v>
      </c>
      <c r="T14" s="38" t="str">
        <f>IF($C14="","",VLOOKUP($C14,CTBat!$G$10:$BR$203,T$1,FALSE))</f>
        <v>-</v>
      </c>
      <c r="U14" s="5">
        <f t="shared" ref="U14:U15" si="33">IF($C14="","",IF(OR(AD14+AG14&gt;14,AND(OR(AD14+AG14&gt;12,AND(AD14&gt;6,AG14&gt;6)),AI14&gt;6,OR(AJ14&gt;=AI14,AJ14&gt;6))),1,0))</f>
        <v>0</v>
      </c>
      <c r="V14" s="5">
        <f t="shared" ref="V14:V19" si="34">IF($C14="","",IF(OR(AND(AD14&gt;6,AH14&gt;6),AD14+AG14&gt;12),1,0))</f>
        <v>1</v>
      </c>
      <c r="W14" s="5">
        <f>IF($C14="","",IF(AND(AD14&gt;6,AF14&gt;6,AG14&gt;6),1,0))</f>
        <v>0</v>
      </c>
      <c r="X14" s="5">
        <f t="shared" ref="X14:X19" si="35">IF($C14="","",IF(AND(AF14&gt;7,OR(AD14&gt;6,AG14&gt;6)),1,0))</f>
        <v>0</v>
      </c>
      <c r="Y14" s="5">
        <f t="shared" ref="Y14:Y19" si="36">IF($C14="","",IF(AND(AF14&gt;6,OR(AD14&gt;6,AG14&gt;6)),1,0))</f>
        <v>0</v>
      </c>
      <c r="Z14" s="5">
        <f t="shared" ref="Z14:Z19" si="37">IF($C14="","",IF(AND(OR(AD14&gt;6,AF14&gt;6),OR(AD14&gt;6,AG14&gt;6)),1,0))</f>
        <v>1</v>
      </c>
      <c r="AA14" s="5">
        <f t="shared" ref="AA14:AA19" si="38">IF($C14="","",IF(AND(AD14&gt;4,OR(AD14&gt;6,AF14&gt;6,AG14&gt;6)),1,0))</f>
        <v>1</v>
      </c>
      <c r="AB14" s="5">
        <f t="shared" ref="AB14:AB19" si="39">IF($C14="","",IF(AND(AD14&gt;4,OR(AD14&gt;6,AE14&gt;6,AF14&gt;6,AG14&gt;6)),1,0))</f>
        <v>1</v>
      </c>
      <c r="AC14" s="5">
        <f t="shared" ref="AC14:AC19" si="40">IF($C14="","",IF(AND(AD14&gt;4,MAX(AD14:AH14)&gt;6),1,0))</f>
        <v>1</v>
      </c>
      <c r="AD14" s="58">
        <f>IF($C14="","",VLOOKUP($C14,CTBat!$G$10:$BR$203,AD$1,FALSE))</f>
        <v>7</v>
      </c>
      <c r="AE14" s="37">
        <f>IF($C14="","",VLOOKUP($C14,CTBat!$G$10:$BR$203,AE$1,FALSE))</f>
        <v>6</v>
      </c>
      <c r="AF14" s="37">
        <f>IF($C14="","",VLOOKUP($C14,CTBat!$G$10:$BR$203,AF$1,FALSE))</f>
        <v>5</v>
      </c>
      <c r="AG14" s="37">
        <f>IF($C14="","",VLOOKUP($C14,CTBat!$G$10:$BR$203,AG$1,FALSE))</f>
        <v>7</v>
      </c>
      <c r="AH14" s="37">
        <f>IF($C14="","",VLOOKUP($C14,CTBat!$G$10:$BR$203,AH$1,FALSE))</f>
        <v>8</v>
      </c>
      <c r="AI14" s="37">
        <f>IF($C14="","",VLOOKUP($C14,CTBat!$G$10:$BR$203,AI$1,FALSE))</f>
        <v>3</v>
      </c>
      <c r="AJ14" s="38">
        <f>IF($C14="","",VLOOKUP($C14,CTBat!$G$10:$BR$203,AJ$1,FALSE))</f>
        <v>4</v>
      </c>
      <c r="AK14" s="67">
        <f>IF($C14="","",(5*AD14+4*AF14+3*AG14+2*AE14+1*AH14+0.5*(AVERAGE(AD14:AE14))+0.5*AVERAGE(AD14,AH14)+1*(AVERAGE(AD14,AF14))+1*AVERAGE(AD14,AG14))/(5+4+3+2+1+0.5+0.5+1+1))</f>
        <v>6.4444444444444446</v>
      </c>
      <c r="AL14" s="5">
        <f t="shared" ref="AL14:AL19" si="41">IF($C14="","",IF(AND(OR(AU14+AX14&gt;12,AND(AU14&gt;6,AX14&gt;6)),AI14&gt;6,OR(AJ14&gt;=AI14,AJ14&gt;6)),1,0))</f>
        <v>0</v>
      </c>
      <c r="AM14" s="5">
        <f t="shared" ref="AM14:AM19" si="42">IF($C14="","",IF(OR(AND(AU14&gt;6,AY14&gt;6),AU14+AX14&gt;12),1,0))</f>
        <v>1</v>
      </c>
      <c r="AN14" s="5">
        <f t="shared" ref="AN14:AN19" si="43">IF($C14="","",IF(AND(AU14&gt;6,AW14&gt;6,AX14&gt;6),1,0))</f>
        <v>0</v>
      </c>
      <c r="AO14" s="5">
        <f t="shared" ref="AO14:AO19" si="44">IF($C14="","",IF(AND(AW14&gt;7,OR(AU14&gt;6,AX14&gt;6)),1,0))</f>
        <v>0</v>
      </c>
      <c r="AP14" s="5">
        <f t="shared" ref="AP14:AP19" si="45">IF($C14="","",IF(AND(AW14&gt;6,OR(AU14&gt;6,AX14&gt;6)),1,0))</f>
        <v>0</v>
      </c>
      <c r="AQ14" s="5">
        <f t="shared" ref="AQ14:AQ19" si="46">IF($C14="","",IF(AND(OR(AU14&gt;6,AW14&gt;6),OR(AU14&gt;6,AX14&gt;6)),1,0))</f>
        <v>1</v>
      </c>
      <c r="AR14" s="5">
        <f t="shared" ref="AR14:AR19" si="47">IF($C14="","",IF(AND(AU14&gt;4,OR(AU14&gt;6,AW14&gt;6,AX14&gt;6)),1,0))</f>
        <v>1</v>
      </c>
      <c r="AS14" s="5">
        <f t="shared" ref="AS14:AS19" si="48">IF($C14="","",IF(AND(AU14&gt;4,OR(AU14&gt;6,AV14&gt;6,AW14&gt;6,AX14&gt;6)),1,0))</f>
        <v>1</v>
      </c>
      <c r="AT14" s="5">
        <f t="shared" ref="AT14:AT19" si="49">IF($C14="","",IF(AND(AU14&gt;4,MAX(AU14:AY14)&gt;6),1,0))</f>
        <v>1</v>
      </c>
      <c r="AU14" s="58">
        <f>IF($C14="","",VLOOKUP($C14,CTBat!$G$10:$BR$203,AU$1,FALSE))</f>
        <v>7</v>
      </c>
      <c r="AV14" s="37">
        <f>IF($C14="","",VLOOKUP($C14,CTBat!$G$10:$BR$203,AV$1,FALSE))</f>
        <v>6</v>
      </c>
      <c r="AW14" s="37">
        <f>IF($C14="","",VLOOKUP($C14,CTBat!$G$10:$BR$203,AW$1,FALSE))</f>
        <v>5</v>
      </c>
      <c r="AX14" s="37">
        <f>IF($C14="","",VLOOKUP($C14,CTBat!$G$10:$BR$203,AX$1,FALSE))</f>
        <v>7</v>
      </c>
      <c r="AY14" s="38">
        <f>IF($C14="","",VLOOKUP($C14,CTBat!$G$10:$BR$203,AY$1,FALSE))</f>
        <v>8</v>
      </c>
      <c r="AZ14" s="67">
        <f t="shared" ref="AZ14:AZ19" si="50">IF($C14="","",(5*AU14+4*AW14+3*AX14+2*AV14+1*AY14+0.5*(AVERAGE(AU14:AV14))+0.5*AVERAGE(AU14,AY14)+1*(AVERAGE(AU14,AW14))+1*AVERAGE(AU14,AX14))/(5+4+3+2+1+0.5+0.5+1+1))</f>
        <v>6.4444444444444446</v>
      </c>
    </row>
    <row r="15" spans="1:52">
      <c r="A15">
        <v>2</v>
      </c>
      <c r="B15" s="36" t="s">
        <v>96</v>
      </c>
      <c r="C15" s="65" t="s">
        <v>386</v>
      </c>
      <c r="D15" s="37">
        <f>IF($C15="","",VLOOKUP($C15,CTBat!$G$10:$BR$203,D$1,FALSE))</f>
        <v>24</v>
      </c>
      <c r="E15" s="37" t="str">
        <f>IF($C15="","",VLOOKUP($C15,CTBat!$G$10:$BR$203,E$1,FALSE))</f>
        <v>R</v>
      </c>
      <c r="F15" s="53">
        <f t="shared" ref="F15:F19" si="51">IF($C15="","",IF(AND(O15&gt;0,O15=SUM(M15:T15)),1,0))</f>
        <v>0</v>
      </c>
      <c r="G15" s="5">
        <f t="shared" si="32"/>
        <v>0</v>
      </c>
      <c r="H15" s="5">
        <f>IF($C15="","",IF(AND(K15&gt;5,P15&lt;&gt;"-"),1,0))</f>
        <v>1</v>
      </c>
      <c r="I15" s="3" t="str">
        <f t="shared" ref="I15:I19" si="52">IF($C15="","","-")</f>
        <v>-</v>
      </c>
      <c r="J15" s="37">
        <f>IF($C15="","",VLOOKUP($C15,CTBat!$G$10:$BR$203,J$1,FALSE))</f>
        <v>1</v>
      </c>
      <c r="K15" s="37">
        <f>IF($C15="","",VLOOKUP($C15,CTBat!$G$10:$BR$203,K$1,FALSE))</f>
        <v>9</v>
      </c>
      <c r="L15" s="37">
        <f>IF($C15="","",VLOOKUP($C15,CTBat!$G$10:$BR$203,L$1,FALSE))</f>
        <v>9</v>
      </c>
      <c r="M15" s="58" t="str">
        <f>IF($C15="","",VLOOKUP($C15,CTBat!$G$10:$BR$203,M$1,FALSE))</f>
        <v>-</v>
      </c>
      <c r="N15" s="37">
        <f>IF($C15="","",VLOOKUP($C15,CTBat!$G$10:$BR$203,N$1,FALSE))</f>
        <v>7</v>
      </c>
      <c r="O15" s="37" t="str">
        <f>IF($C15="","",VLOOKUP($C15,CTBat!$G$10:$BR$203,O$1,FALSE))</f>
        <v>-</v>
      </c>
      <c r="P15" s="37">
        <f>IF($C15="","",VLOOKUP($C15,CTBat!$G$10:$BR$203,P$1,FALSE))</f>
        <v>8</v>
      </c>
      <c r="Q15" s="37" t="str">
        <f>IF($C15="","",VLOOKUP($C15,CTBat!$G$10:$BR$203,Q$1,FALSE))</f>
        <v>-</v>
      </c>
      <c r="R15" s="37">
        <f>IF($C15="","",VLOOKUP($C15,CTBat!$G$10:$BR$203,R$1,FALSE))</f>
        <v>4</v>
      </c>
      <c r="S15" s="37">
        <f>IF($C15="","",VLOOKUP($C15,CTBat!$G$10:$BR$203,S$1,FALSE))</f>
        <v>2</v>
      </c>
      <c r="T15" s="38">
        <f>IF($C15="","",VLOOKUP($C15,CTBat!$G$10:$BR$203,T$1,FALSE))</f>
        <v>4</v>
      </c>
      <c r="U15" s="5">
        <f t="shared" si="33"/>
        <v>0</v>
      </c>
      <c r="V15" s="5">
        <f t="shared" si="34"/>
        <v>0</v>
      </c>
      <c r="W15" s="5">
        <f t="shared" ref="W15:W19" si="53">IF($C15="","",IF(AND(AD15&gt;6,AF15&gt;6,AG15&gt;6),1,0))</f>
        <v>0</v>
      </c>
      <c r="X15" s="5">
        <f t="shared" si="35"/>
        <v>0</v>
      </c>
      <c r="Y15" s="5">
        <f t="shared" si="36"/>
        <v>0</v>
      </c>
      <c r="Z15" s="5">
        <f t="shared" si="37"/>
        <v>1</v>
      </c>
      <c r="AA15" s="5">
        <f t="shared" si="38"/>
        <v>1</v>
      </c>
      <c r="AB15" s="5">
        <f t="shared" si="39"/>
        <v>1</v>
      </c>
      <c r="AC15" s="5">
        <f t="shared" si="40"/>
        <v>1</v>
      </c>
      <c r="AD15" s="58">
        <f>IF($C15="","",VLOOKUP($C15,CTBat!$G$10:$BR$203,AD$1,FALSE))</f>
        <v>7</v>
      </c>
      <c r="AE15" s="37">
        <f>IF($C15="","",VLOOKUP($C15,CTBat!$G$10:$BR$203,AE$1,FALSE))</f>
        <v>5</v>
      </c>
      <c r="AF15" s="37">
        <f>IF($C15="","",VLOOKUP($C15,CTBat!$G$10:$BR$203,AF$1,FALSE))</f>
        <v>5</v>
      </c>
      <c r="AG15" s="37">
        <f>IF($C15="","",VLOOKUP($C15,CTBat!$G$10:$BR$203,AG$1,FALSE))</f>
        <v>3</v>
      </c>
      <c r="AH15" s="37">
        <f>IF($C15="","",VLOOKUP($C15,CTBat!$G$10:$BR$203,AH$1,FALSE))</f>
        <v>4</v>
      </c>
      <c r="AI15" s="37">
        <f>IF($C15="","",VLOOKUP($C15,CTBat!$G$10:$BR$203,AI$1,FALSE))</f>
        <v>2</v>
      </c>
      <c r="AJ15" s="38">
        <f>IF($C15="","",VLOOKUP($C15,CTBat!$G$10:$BR$203,AJ$1,FALSE))</f>
        <v>5</v>
      </c>
      <c r="AK15" s="67">
        <f t="shared" ref="AK15:AK19" si="54">IF($C15="","",(5*AD15+4*AF15+3*AG15+2*AE15+1*AH15+0.5*(AVERAGE(AD15:AE15))+0.5*AVERAGE(AD15,AH15)+1*(AVERAGE(AD15,AF15))+1*AVERAGE(AD15,AG15))/(5+4+3+2+1+0.5+0.5+1+1))</f>
        <v>5.2638888888888893</v>
      </c>
      <c r="AL15" s="5">
        <f t="shared" si="41"/>
        <v>0</v>
      </c>
      <c r="AM15" s="5">
        <f t="shared" si="42"/>
        <v>1</v>
      </c>
      <c r="AN15" s="5">
        <f t="shared" si="43"/>
        <v>0</v>
      </c>
      <c r="AO15" s="5">
        <f t="shared" si="44"/>
        <v>0</v>
      </c>
      <c r="AP15" s="5">
        <f t="shared" si="45"/>
        <v>1</v>
      </c>
      <c r="AQ15" s="5">
        <f t="shared" si="46"/>
        <v>1</v>
      </c>
      <c r="AR15" s="5">
        <f t="shared" si="47"/>
        <v>1</v>
      </c>
      <c r="AS15" s="5">
        <f t="shared" si="48"/>
        <v>1</v>
      </c>
      <c r="AT15" s="5">
        <f t="shared" si="49"/>
        <v>1</v>
      </c>
      <c r="AU15" s="58">
        <f>IF($C15="","",VLOOKUP($C15,CTBat!$G$10:$BR$203,AU$1,FALSE))</f>
        <v>8</v>
      </c>
      <c r="AV15" s="37">
        <f>IF($C15="","",VLOOKUP($C15,CTBat!$G$10:$BR$203,AV$1,FALSE))</f>
        <v>5</v>
      </c>
      <c r="AW15" s="37">
        <f>IF($C15="","",VLOOKUP($C15,CTBat!$G$10:$BR$203,AW$1,FALSE))</f>
        <v>7</v>
      </c>
      <c r="AX15" s="37">
        <f>IF($C15="","",VLOOKUP($C15,CTBat!$G$10:$BR$203,AX$1,FALSE))</f>
        <v>5</v>
      </c>
      <c r="AY15" s="38">
        <f>IF($C15="","",VLOOKUP($C15,CTBat!$G$10:$BR$203,AY$1,FALSE))</f>
        <v>5</v>
      </c>
      <c r="AZ15" s="67">
        <f t="shared" si="50"/>
        <v>6.583333333333333</v>
      </c>
    </row>
    <row r="16" spans="1:52">
      <c r="A16">
        <v>3</v>
      </c>
      <c r="B16" s="36" t="s">
        <v>97</v>
      </c>
      <c r="C16" s="37" t="s">
        <v>43</v>
      </c>
      <c r="D16" s="37">
        <f>IF($C16="","",VLOOKUP($C16,CTBat!$G$10:$BR$203,D$1,FALSE))</f>
        <v>31</v>
      </c>
      <c r="E16" s="37" t="str">
        <f>IF($C16="","",VLOOKUP($C16,CTBat!$G$10:$BR$203,E$1,FALSE))</f>
        <v>L</v>
      </c>
      <c r="F16" s="53">
        <f t="shared" si="51"/>
        <v>0</v>
      </c>
      <c r="G16" s="5">
        <f t="shared" si="32"/>
        <v>1</v>
      </c>
      <c r="H16" s="5">
        <f t="shared" ref="H16:H19" si="55">IF($C16="","",IF(AND(K16&gt;5,P16&lt;&gt;"-"),1,0))</f>
        <v>1</v>
      </c>
      <c r="I16" s="3" t="str">
        <f t="shared" si="52"/>
        <v>-</v>
      </c>
      <c r="J16" s="37">
        <f>IF($C16="","",VLOOKUP($C16,CTBat!$G$10:$BR$203,J$1,FALSE))</f>
        <v>1</v>
      </c>
      <c r="K16" s="37">
        <f>IF($C16="","",VLOOKUP($C16,CTBat!$G$10:$BR$203,K$1,FALSE))</f>
        <v>8</v>
      </c>
      <c r="L16" s="37">
        <f>IF($C16="","",VLOOKUP($C16,CTBat!$G$10:$BR$203,L$1,FALSE))</f>
        <v>1</v>
      </c>
      <c r="M16" s="58" t="str">
        <f>IF($C16="","",VLOOKUP($C16,CTBat!$G$10:$BR$203,M$1,FALSE))</f>
        <v>-</v>
      </c>
      <c r="N16" s="37" t="str">
        <f>IF($C16="","",VLOOKUP($C16,CTBat!$G$10:$BR$203,N$1,FALSE))</f>
        <v>-</v>
      </c>
      <c r="O16" s="37">
        <f>IF($C16="","",VLOOKUP($C16,CTBat!$G$10:$BR$203,O$1,FALSE))</f>
        <v>2</v>
      </c>
      <c r="P16" s="37">
        <f>IF($C16="","",VLOOKUP($C16,CTBat!$G$10:$BR$203,P$1,FALSE))</f>
        <v>8</v>
      </c>
      <c r="Q16" s="37">
        <f>IF($C16="","",VLOOKUP($C16,CTBat!$G$10:$BR$203,Q$1,FALSE))</f>
        <v>7</v>
      </c>
      <c r="R16" s="37" t="str">
        <f>IF($C16="","",VLOOKUP($C16,CTBat!$G$10:$BR$203,R$1,FALSE))</f>
        <v>-</v>
      </c>
      <c r="S16" s="37" t="str">
        <f>IF($C16="","",VLOOKUP($C16,CTBat!$G$10:$BR$203,S$1,FALSE))</f>
        <v>-</v>
      </c>
      <c r="T16" s="38" t="str">
        <f>IF($C16="","",VLOOKUP($C16,CTBat!$G$10:$BR$203,T$1,FALSE))</f>
        <v>-</v>
      </c>
      <c r="U16" s="5">
        <f>IF($C16="","",IF(OR(AD16+AG16&gt;14,AND(OR(AD16+AG16&gt;12,AND(AD16&gt;6,AG16&gt;6)),AI16&gt;6,OR(AJ16&gt;=AI16,AJ16&gt;6))),1,0))</f>
        <v>1</v>
      </c>
      <c r="V16" s="5">
        <f t="shared" si="34"/>
        <v>1</v>
      </c>
      <c r="W16" s="5">
        <f t="shared" si="53"/>
        <v>1</v>
      </c>
      <c r="X16" s="5">
        <f t="shared" si="35"/>
        <v>1</v>
      </c>
      <c r="Y16" s="5">
        <f t="shared" si="36"/>
        <v>1</v>
      </c>
      <c r="Z16" s="5">
        <f t="shared" si="37"/>
        <v>1</v>
      </c>
      <c r="AA16" s="5">
        <f t="shared" si="38"/>
        <v>1</v>
      </c>
      <c r="AB16" s="5">
        <f t="shared" si="39"/>
        <v>1</v>
      </c>
      <c r="AC16" s="5">
        <f t="shared" si="40"/>
        <v>1</v>
      </c>
      <c r="AD16" s="58">
        <f>IF($C16="","",VLOOKUP($C16,CTBat!$G$10:$BR$203,AD$1,FALSE))</f>
        <v>8</v>
      </c>
      <c r="AE16" s="37">
        <f>IF($C16="","",VLOOKUP($C16,CTBat!$G$10:$BR$203,AE$1,FALSE))</f>
        <v>8</v>
      </c>
      <c r="AF16" s="37">
        <f>IF($C16="","",VLOOKUP($C16,CTBat!$G$10:$BR$203,AF$1,FALSE))</f>
        <v>10</v>
      </c>
      <c r="AG16" s="37">
        <f>IF($C16="","",VLOOKUP($C16,CTBat!$G$10:$BR$203,AG$1,FALSE))</f>
        <v>7</v>
      </c>
      <c r="AH16" s="37">
        <f>IF($C16="","",VLOOKUP($C16,CTBat!$G$10:$BR$203,AH$1,FALSE))</f>
        <v>4</v>
      </c>
      <c r="AI16" s="37">
        <f>IF($C16="","",VLOOKUP($C16,CTBat!$G$10:$BR$203,AI$1,FALSE))</f>
        <v>2</v>
      </c>
      <c r="AJ16" s="38">
        <f>IF($C16="","",VLOOKUP($C16,CTBat!$G$10:$BR$203,AJ$1,FALSE))</f>
        <v>4</v>
      </c>
      <c r="AK16" s="67">
        <f t="shared" si="54"/>
        <v>8.0277777777777786</v>
      </c>
      <c r="AL16" s="5">
        <f t="shared" si="41"/>
        <v>0</v>
      </c>
      <c r="AM16" s="5">
        <f t="shared" si="42"/>
        <v>1</v>
      </c>
      <c r="AN16" s="5">
        <f t="shared" si="43"/>
        <v>1</v>
      </c>
      <c r="AO16" s="5">
        <f t="shared" si="44"/>
        <v>1</v>
      </c>
      <c r="AP16" s="5">
        <f t="shared" si="45"/>
        <v>1</v>
      </c>
      <c r="AQ16" s="5">
        <f t="shared" si="46"/>
        <v>1</v>
      </c>
      <c r="AR16" s="5">
        <f t="shared" si="47"/>
        <v>1</v>
      </c>
      <c r="AS16" s="5">
        <f t="shared" si="48"/>
        <v>1</v>
      </c>
      <c r="AT16" s="5">
        <f t="shared" si="49"/>
        <v>1</v>
      </c>
      <c r="AU16" s="58">
        <f>IF($C16="","",VLOOKUP($C16,CTBat!$G$10:$BR$203,AU$1,FALSE))</f>
        <v>8</v>
      </c>
      <c r="AV16" s="37">
        <f>IF($C16="","",VLOOKUP($C16,CTBat!$G$10:$BR$203,AV$1,FALSE))</f>
        <v>8</v>
      </c>
      <c r="AW16" s="37">
        <f>IF($C16="","",VLOOKUP($C16,CTBat!$G$10:$BR$203,AW$1,FALSE))</f>
        <v>10</v>
      </c>
      <c r="AX16" s="37">
        <f>IF($C16="","",VLOOKUP($C16,CTBat!$G$10:$BR$203,AX$1,FALSE))</f>
        <v>8</v>
      </c>
      <c r="AY16" s="38">
        <f>IF($C16="","",VLOOKUP($C16,CTBat!$G$10:$BR$203,AY$1,FALSE))</f>
        <v>4</v>
      </c>
      <c r="AZ16" s="67">
        <f t="shared" si="50"/>
        <v>8.2222222222222214</v>
      </c>
    </row>
    <row r="17" spans="1:52">
      <c r="A17">
        <v>4</v>
      </c>
      <c r="B17" s="36" t="s">
        <v>101</v>
      </c>
      <c r="C17" s="37" t="s">
        <v>50</v>
      </c>
      <c r="D17" s="37">
        <f>IF($C17="","",VLOOKUP($C17,CTBat!$G$10:$BR$203,D$1,FALSE))</f>
        <v>30</v>
      </c>
      <c r="E17" s="37" t="str">
        <f>IF($C17="","",VLOOKUP($C17,CTBat!$G$10:$BR$203,E$1,FALSE))</f>
        <v>R</v>
      </c>
      <c r="F17" s="53">
        <f t="shared" si="51"/>
        <v>0</v>
      </c>
      <c r="G17" s="5">
        <f t="shared" si="32"/>
        <v>1</v>
      </c>
      <c r="H17" s="5">
        <f t="shared" si="55"/>
        <v>1</v>
      </c>
      <c r="I17" s="3" t="str">
        <f t="shared" si="52"/>
        <v>-</v>
      </c>
      <c r="J17" s="37">
        <f>IF($C17="","",VLOOKUP($C17,CTBat!$G$10:$BR$203,J$1,FALSE))</f>
        <v>1</v>
      </c>
      <c r="K17" s="37">
        <f>IF($C17="","",VLOOKUP($C17,CTBat!$G$10:$BR$203,K$1,FALSE))</f>
        <v>10</v>
      </c>
      <c r="L17" s="37">
        <f>IF($C17="","",VLOOKUP($C17,CTBat!$G$10:$BR$203,L$1,FALSE))</f>
        <v>2</v>
      </c>
      <c r="M17" s="58" t="str">
        <f>IF($C17="","",VLOOKUP($C17,CTBat!$G$10:$BR$203,M$1,FALSE))</f>
        <v>-</v>
      </c>
      <c r="N17" s="37">
        <f>IF($C17="","",VLOOKUP($C17,CTBat!$G$10:$BR$203,N$1,FALSE))</f>
        <v>10</v>
      </c>
      <c r="O17" s="37">
        <f>IF($C17="","",VLOOKUP($C17,CTBat!$G$10:$BR$203,O$1,FALSE))</f>
        <v>10</v>
      </c>
      <c r="P17" s="37">
        <f>IF($C17="","",VLOOKUP($C17,CTBat!$G$10:$BR$203,P$1,FALSE))</f>
        <v>10</v>
      </c>
      <c r="Q17" s="37">
        <f>IF($C17="","",VLOOKUP($C17,CTBat!$G$10:$BR$203,Q$1,FALSE))</f>
        <v>9</v>
      </c>
      <c r="R17" s="37" t="str">
        <f>IF($C17="","",VLOOKUP($C17,CTBat!$G$10:$BR$203,R$1,FALSE))</f>
        <v>-</v>
      </c>
      <c r="S17" s="37" t="str">
        <f>IF($C17="","",VLOOKUP($C17,CTBat!$G$10:$BR$203,S$1,FALSE))</f>
        <v>-</v>
      </c>
      <c r="T17" s="38" t="str">
        <f>IF($C17="","",VLOOKUP($C17,CTBat!$G$10:$BR$203,T$1,FALSE))</f>
        <v>-</v>
      </c>
      <c r="U17" s="5">
        <f t="shared" ref="U17:U19" si="56">IF($C17="","",IF(OR(AD17+AG17&gt;14,AND(OR(AD17+AG17&gt;12,AND(AD17&gt;6,AG17&gt;6)),AI17&gt;6,OR(AJ17&gt;=AI17,AJ17&gt;6))),1,0))</f>
        <v>0</v>
      </c>
      <c r="V17" s="5">
        <f t="shared" si="34"/>
        <v>1</v>
      </c>
      <c r="W17" s="5">
        <f t="shared" si="53"/>
        <v>0</v>
      </c>
      <c r="X17" s="5">
        <f t="shared" si="35"/>
        <v>0</v>
      </c>
      <c r="Y17" s="5">
        <f t="shared" si="36"/>
        <v>0</v>
      </c>
      <c r="Z17" s="5">
        <f t="shared" si="37"/>
        <v>0</v>
      </c>
      <c r="AA17" s="5">
        <f t="shared" si="38"/>
        <v>1</v>
      </c>
      <c r="AB17" s="5">
        <f t="shared" si="39"/>
        <v>1</v>
      </c>
      <c r="AC17" s="5">
        <f t="shared" si="40"/>
        <v>1</v>
      </c>
      <c r="AD17" s="58">
        <f>IF($C17="","",VLOOKUP($C17,CTBat!$G$10:$BR$203,AD$1,FALSE))</f>
        <v>6</v>
      </c>
      <c r="AE17" s="37">
        <f>IF($C17="","",VLOOKUP($C17,CTBat!$G$10:$BR$203,AE$1,FALSE))</f>
        <v>6</v>
      </c>
      <c r="AF17" s="37">
        <f>IF($C17="","",VLOOKUP($C17,CTBat!$G$10:$BR$203,AF$1,FALSE))</f>
        <v>5</v>
      </c>
      <c r="AG17" s="37">
        <f>IF($C17="","",VLOOKUP($C17,CTBat!$G$10:$BR$203,AG$1,FALSE))</f>
        <v>8</v>
      </c>
      <c r="AH17" s="37">
        <f>IF($C17="","",VLOOKUP($C17,CTBat!$G$10:$BR$203,AH$1,FALSE))</f>
        <v>7</v>
      </c>
      <c r="AI17" s="37">
        <f>IF($C17="","",VLOOKUP($C17,CTBat!$G$10:$BR$203,AI$1,FALSE))</f>
        <v>4</v>
      </c>
      <c r="AJ17" s="38">
        <f>IF($C17="","",VLOOKUP($C17,CTBat!$G$10:$BR$203,AJ$1,FALSE))</f>
        <v>7</v>
      </c>
      <c r="AK17" s="67">
        <f t="shared" si="54"/>
        <v>6.208333333333333</v>
      </c>
      <c r="AL17" s="5">
        <f t="shared" si="41"/>
        <v>0</v>
      </c>
      <c r="AM17" s="5">
        <f t="shared" si="42"/>
        <v>1</v>
      </c>
      <c r="AN17" s="5">
        <f t="shared" si="43"/>
        <v>0</v>
      </c>
      <c r="AO17" s="5">
        <f t="shared" si="44"/>
        <v>0</v>
      </c>
      <c r="AP17" s="5">
        <f t="shared" si="45"/>
        <v>0</v>
      </c>
      <c r="AQ17" s="5">
        <f t="shared" si="46"/>
        <v>0</v>
      </c>
      <c r="AR17" s="5">
        <f t="shared" si="47"/>
        <v>1</v>
      </c>
      <c r="AS17" s="5">
        <f t="shared" si="48"/>
        <v>1</v>
      </c>
      <c r="AT17" s="5">
        <f t="shared" si="49"/>
        <v>1</v>
      </c>
      <c r="AU17" s="58">
        <f>IF($C17="","",VLOOKUP($C17,CTBat!$G$10:$BR$203,AU$1,FALSE))</f>
        <v>6</v>
      </c>
      <c r="AV17" s="37">
        <f>IF($C17="","",VLOOKUP($C17,CTBat!$G$10:$BR$203,AV$1,FALSE))</f>
        <v>6</v>
      </c>
      <c r="AW17" s="37">
        <f>IF($C17="","",VLOOKUP($C17,CTBat!$G$10:$BR$203,AW$1,FALSE))</f>
        <v>5</v>
      </c>
      <c r="AX17" s="37">
        <f>IF($C17="","",VLOOKUP($C17,CTBat!$G$10:$BR$203,AX$1,FALSE))</f>
        <v>8</v>
      </c>
      <c r="AY17" s="38">
        <f>IF($C17="","",VLOOKUP($C17,CTBat!$G$10:$BR$203,AY$1,FALSE))</f>
        <v>7</v>
      </c>
      <c r="AZ17" s="67">
        <f t="shared" si="50"/>
        <v>6.208333333333333</v>
      </c>
    </row>
    <row r="18" spans="1:52">
      <c r="A18">
        <v>5</v>
      </c>
      <c r="B18" s="36" t="s">
        <v>101</v>
      </c>
      <c r="C18" s="65" t="s">
        <v>486</v>
      </c>
      <c r="D18" s="37">
        <f>IF($C18="","",VLOOKUP($C18,CTBat!$G$10:$BR$203,D$1,FALSE))</f>
        <v>25</v>
      </c>
      <c r="E18" s="37" t="str">
        <f>IF($C18="","",VLOOKUP($C18,CTBat!$G$10:$BR$203,E$1,FALSE))</f>
        <v>R</v>
      </c>
      <c r="F18" s="53">
        <f t="shared" ref="F18" si="57">IF($C18="","",IF(AND(O18&gt;0,O18=SUM(M18:T18)),1,0))</f>
        <v>0</v>
      </c>
      <c r="G18" s="5">
        <f t="shared" si="32"/>
        <v>1</v>
      </c>
      <c r="H18" s="5">
        <f t="shared" si="55"/>
        <v>1</v>
      </c>
      <c r="I18" s="3" t="str">
        <f t="shared" si="52"/>
        <v>-</v>
      </c>
      <c r="J18" s="37">
        <f>IF($C18="","",VLOOKUP($C18,CTBat!$G$10:$BR$203,J$1,FALSE))</f>
        <v>1</v>
      </c>
      <c r="K18" s="37">
        <f>IF($C18="","",VLOOKUP($C18,CTBat!$G$10:$BR$203,K$1,FALSE))</f>
        <v>9</v>
      </c>
      <c r="L18" s="37">
        <f>IF($C18="","",VLOOKUP($C18,CTBat!$G$10:$BR$203,L$1,FALSE))</f>
        <v>4</v>
      </c>
      <c r="M18" s="58" t="str">
        <f>IF($C18="","",VLOOKUP($C18,CTBat!$G$10:$BR$203,M$1,FALSE))</f>
        <v>-</v>
      </c>
      <c r="N18" s="37" t="str">
        <f>IF($C18="","",VLOOKUP($C18,CTBat!$G$10:$BR$203,N$1,FALSE))</f>
        <v>-</v>
      </c>
      <c r="O18" s="37">
        <f>IF($C18="","",VLOOKUP($C18,CTBat!$G$10:$BR$203,O$1,FALSE))</f>
        <v>1</v>
      </c>
      <c r="P18" s="37">
        <f>IF($C18="","",VLOOKUP($C18,CTBat!$G$10:$BR$203,P$1,FALSE))</f>
        <v>6</v>
      </c>
      <c r="Q18" s="37">
        <f>IF($C18="","",VLOOKUP($C18,CTBat!$G$10:$BR$203,Q$1,FALSE))</f>
        <v>3</v>
      </c>
      <c r="R18" s="37" t="str">
        <f>IF($C18="","",VLOOKUP($C18,CTBat!$G$10:$BR$203,R$1,FALSE))</f>
        <v>-</v>
      </c>
      <c r="S18" s="37" t="str">
        <f>IF($C18="","",VLOOKUP($C18,CTBat!$G$10:$BR$203,S$1,FALSE))</f>
        <v>-</v>
      </c>
      <c r="T18" s="38" t="str">
        <f>IF($C18="","",VLOOKUP($C18,CTBat!$G$10:$BR$203,T$1,FALSE))</f>
        <v>-</v>
      </c>
      <c r="U18" s="5">
        <f t="shared" si="56"/>
        <v>0</v>
      </c>
      <c r="V18" s="5">
        <f t="shared" si="34"/>
        <v>1</v>
      </c>
      <c r="W18" s="5">
        <f t="shared" ref="W18" si="58">IF($C18="","",IF(AND(AD18&gt;6,AF18&gt;6,AG18&gt;6),1,0))</f>
        <v>0</v>
      </c>
      <c r="X18" s="5">
        <f t="shared" si="35"/>
        <v>0</v>
      </c>
      <c r="Y18" s="5">
        <f t="shared" si="36"/>
        <v>0</v>
      </c>
      <c r="Z18" s="5">
        <f t="shared" si="37"/>
        <v>1</v>
      </c>
      <c r="AA18" s="5">
        <f t="shared" si="38"/>
        <v>1</v>
      </c>
      <c r="AB18" s="5">
        <f t="shared" si="39"/>
        <v>1</v>
      </c>
      <c r="AC18" s="5">
        <f t="shared" si="40"/>
        <v>1</v>
      </c>
      <c r="AD18" s="58">
        <f>IF($C18="","",VLOOKUP($C18,CTBat!$G$10:$BR$203,AD$1,FALSE))</f>
        <v>7</v>
      </c>
      <c r="AE18" s="37">
        <f>IF($C18="","",VLOOKUP($C18,CTBat!$G$10:$BR$203,AE$1,FALSE))</f>
        <v>6</v>
      </c>
      <c r="AF18" s="37">
        <f>IF($C18="","",VLOOKUP($C18,CTBat!$G$10:$BR$203,AF$1,FALSE))</f>
        <v>2</v>
      </c>
      <c r="AG18" s="37">
        <f>IF($C18="","",VLOOKUP($C18,CTBat!$G$10:$BR$203,AG$1,FALSE))</f>
        <v>7</v>
      </c>
      <c r="AH18" s="37">
        <f>IF($C18="","",VLOOKUP($C18,CTBat!$G$10:$BR$203,AH$1,FALSE))</f>
        <v>7</v>
      </c>
      <c r="AI18" s="37">
        <f>IF($C18="","",VLOOKUP($C18,CTBat!$G$10:$BR$203,AI$1,FALSE))</f>
        <v>3</v>
      </c>
      <c r="AJ18" s="38">
        <f>IF($C18="","",VLOOKUP($C18,CTBat!$G$10:$BR$203,AJ$1,FALSE))</f>
        <v>5</v>
      </c>
      <c r="AK18" s="67">
        <f t="shared" si="54"/>
        <v>5.625</v>
      </c>
      <c r="AL18" s="5">
        <f t="shared" si="41"/>
        <v>0</v>
      </c>
      <c r="AM18" s="5">
        <f t="shared" si="42"/>
        <v>1</v>
      </c>
      <c r="AN18" s="5">
        <f t="shared" si="43"/>
        <v>0</v>
      </c>
      <c r="AO18" s="5">
        <f t="shared" si="44"/>
        <v>0</v>
      </c>
      <c r="AP18" s="5">
        <f t="shared" si="45"/>
        <v>0</v>
      </c>
      <c r="AQ18" s="5">
        <f t="shared" si="46"/>
        <v>1</v>
      </c>
      <c r="AR18" s="5">
        <f t="shared" si="47"/>
        <v>1</v>
      </c>
      <c r="AS18" s="5">
        <f t="shared" si="48"/>
        <v>1</v>
      </c>
      <c r="AT18" s="5">
        <f t="shared" si="49"/>
        <v>1</v>
      </c>
      <c r="AU18" s="58">
        <f>IF($C18="","",VLOOKUP($C18,CTBat!$G$10:$BR$203,AU$1,FALSE))</f>
        <v>7</v>
      </c>
      <c r="AV18" s="37">
        <f>IF($C18="","",VLOOKUP($C18,CTBat!$G$10:$BR$203,AV$1,FALSE))</f>
        <v>6</v>
      </c>
      <c r="AW18" s="37">
        <f>IF($C18="","",VLOOKUP($C18,CTBat!$G$10:$BR$203,AW$1,FALSE))</f>
        <v>2</v>
      </c>
      <c r="AX18" s="37">
        <f>IF($C18="","",VLOOKUP($C18,CTBat!$G$10:$BR$203,AX$1,FALSE))</f>
        <v>8</v>
      </c>
      <c r="AY18" s="38">
        <f>IF($C18="","",VLOOKUP($C18,CTBat!$G$10:$BR$203,AY$1,FALSE))</f>
        <v>7</v>
      </c>
      <c r="AZ18" s="67">
        <f t="shared" si="50"/>
        <v>5.8194444444444446</v>
      </c>
    </row>
    <row r="19" spans="1:52">
      <c r="A19">
        <v>6</v>
      </c>
      <c r="B19" s="39" t="s">
        <v>101</v>
      </c>
      <c r="C19" s="40"/>
      <c r="D19" s="40" t="str">
        <f>IF($C19="","",VLOOKUP($C19,CTBat!$G$10:$BR$203,D$1,FALSE))</f>
        <v/>
      </c>
      <c r="E19" s="40" t="str">
        <f>IF($C19="","",VLOOKUP($C19,CTBat!$G$10:$BR$203,E$1,FALSE))</f>
        <v/>
      </c>
      <c r="F19" s="54" t="str">
        <f t="shared" si="51"/>
        <v/>
      </c>
      <c r="G19" s="41" t="str">
        <f>IF($C19="","",IF(Q19&lt;&gt;"-",1,0))</f>
        <v/>
      </c>
      <c r="H19" s="41" t="str">
        <f t="shared" si="55"/>
        <v/>
      </c>
      <c r="I19" s="62" t="str">
        <f t="shared" si="52"/>
        <v/>
      </c>
      <c r="J19" s="40" t="str">
        <f>IF($C19="","",VLOOKUP($C19,CTBat!$G$10:$BR$203,J$1,FALSE))</f>
        <v/>
      </c>
      <c r="K19" s="40" t="str">
        <f>IF($C19="","",VLOOKUP($C19,CTBat!$G$10:$BR$203,K$1,FALSE))</f>
        <v/>
      </c>
      <c r="L19" s="40" t="str">
        <f>IF($C19="","",VLOOKUP($C19,CTBat!$G$10:$BR$203,L$1,FALSE))</f>
        <v/>
      </c>
      <c r="M19" s="59" t="str">
        <f>IF($C19="","",VLOOKUP($C19,CTBat!$G$10:$BR$203,M$1,FALSE))</f>
        <v/>
      </c>
      <c r="N19" s="40" t="str">
        <f>IF($C19="","",VLOOKUP($C19,CTBat!$G$10:$BR$203,N$1,FALSE))</f>
        <v/>
      </c>
      <c r="O19" s="40" t="str">
        <f>IF($C19="","",VLOOKUP($C19,CTBat!$G$10:$BR$203,O$1,FALSE))</f>
        <v/>
      </c>
      <c r="P19" s="40" t="str">
        <f>IF($C19="","",VLOOKUP($C19,CTBat!$G$10:$BR$203,P$1,FALSE))</f>
        <v/>
      </c>
      <c r="Q19" s="40" t="str">
        <f>IF($C19="","",VLOOKUP($C19,CTBat!$G$10:$BR$203,Q$1,FALSE))</f>
        <v/>
      </c>
      <c r="R19" s="40" t="str">
        <f>IF($C19="","",VLOOKUP($C19,CTBat!$G$10:$BR$203,R$1,FALSE))</f>
        <v/>
      </c>
      <c r="S19" s="40" t="str">
        <f>IF($C19="","",VLOOKUP($C19,CTBat!$G$10:$BR$203,S$1,FALSE))</f>
        <v/>
      </c>
      <c r="T19" s="42" t="str">
        <f>IF($C19="","",VLOOKUP($C19,CTBat!$G$10:$BR$203,T$1,FALSE))</f>
        <v/>
      </c>
      <c r="U19" s="41" t="str">
        <f t="shared" si="56"/>
        <v/>
      </c>
      <c r="V19" s="41" t="str">
        <f t="shared" si="34"/>
        <v/>
      </c>
      <c r="W19" s="41" t="str">
        <f t="shared" si="53"/>
        <v/>
      </c>
      <c r="X19" s="41" t="str">
        <f t="shared" si="35"/>
        <v/>
      </c>
      <c r="Y19" s="41" t="str">
        <f t="shared" si="36"/>
        <v/>
      </c>
      <c r="Z19" s="41" t="str">
        <f t="shared" si="37"/>
        <v/>
      </c>
      <c r="AA19" s="41" t="str">
        <f t="shared" si="38"/>
        <v/>
      </c>
      <c r="AB19" s="41" t="str">
        <f t="shared" si="39"/>
        <v/>
      </c>
      <c r="AC19" s="41" t="str">
        <f t="shared" si="40"/>
        <v/>
      </c>
      <c r="AD19" s="59" t="str">
        <f>IF($C19="","",VLOOKUP($C19,CTBat!$G$10:$BR$203,AD$1,FALSE))</f>
        <v/>
      </c>
      <c r="AE19" s="40" t="str">
        <f>IF($C19="","",VLOOKUP($C19,CTBat!$G$10:$BR$203,AE$1,FALSE))</f>
        <v/>
      </c>
      <c r="AF19" s="40" t="str">
        <f>IF($C19="","",VLOOKUP($C19,CTBat!$G$10:$BR$203,AF$1,FALSE))</f>
        <v/>
      </c>
      <c r="AG19" s="40" t="str">
        <f>IF($C19="","",VLOOKUP($C19,CTBat!$G$10:$BR$203,AG$1,FALSE))</f>
        <v/>
      </c>
      <c r="AH19" s="40" t="str">
        <f>IF($C19="","",VLOOKUP($C19,CTBat!$G$10:$BR$203,AH$1,FALSE))</f>
        <v/>
      </c>
      <c r="AI19" s="40" t="str">
        <f>IF($C19="","",VLOOKUP($C19,CTBat!$G$10:$BR$203,AI$1,FALSE))</f>
        <v/>
      </c>
      <c r="AJ19" s="42" t="str">
        <f>IF($C19="","",VLOOKUP($C19,CTBat!$G$10:$BR$203,AJ$1,FALSE))</f>
        <v/>
      </c>
      <c r="AK19" s="68" t="str">
        <f t="shared" si="54"/>
        <v/>
      </c>
      <c r="AL19" s="41" t="str">
        <f t="shared" si="41"/>
        <v/>
      </c>
      <c r="AM19" s="41" t="str">
        <f t="shared" si="42"/>
        <v/>
      </c>
      <c r="AN19" s="41" t="str">
        <f t="shared" si="43"/>
        <v/>
      </c>
      <c r="AO19" s="41" t="str">
        <f t="shared" si="44"/>
        <v/>
      </c>
      <c r="AP19" s="41" t="str">
        <f t="shared" si="45"/>
        <v/>
      </c>
      <c r="AQ19" s="41" t="str">
        <f t="shared" si="46"/>
        <v/>
      </c>
      <c r="AR19" s="41" t="str">
        <f t="shared" si="47"/>
        <v/>
      </c>
      <c r="AS19" s="41" t="str">
        <f t="shared" si="48"/>
        <v/>
      </c>
      <c r="AT19" s="41" t="str">
        <f t="shared" si="49"/>
        <v/>
      </c>
      <c r="AU19" s="59" t="str">
        <f>IF($C19="","",VLOOKUP($C19,CTBat!$G$10:$BR$203,AU$1,FALSE))</f>
        <v/>
      </c>
      <c r="AV19" s="40" t="str">
        <f>IF($C19="","",VLOOKUP($C19,CTBat!$G$10:$BR$203,AV$1,FALSE))</f>
        <v/>
      </c>
      <c r="AW19" s="40" t="str">
        <f>IF($C19="","",VLOOKUP($C19,CTBat!$G$10:$BR$203,AW$1,FALSE))</f>
        <v/>
      </c>
      <c r="AX19" s="40" t="str">
        <f>IF($C19="","",VLOOKUP($C19,CTBat!$G$10:$BR$203,AX$1,FALSE))</f>
        <v/>
      </c>
      <c r="AY19" s="42" t="str">
        <f>IF($C19="","",VLOOKUP($C19,CTBat!$G$10:$BR$203,AY$1,FALSE))</f>
        <v/>
      </c>
      <c r="AZ19" s="68" t="str">
        <f t="shared" si="50"/>
        <v/>
      </c>
    </row>
    <row r="21" spans="1:52" ht="196.5">
      <c r="A21" s="25" t="s">
        <v>193</v>
      </c>
      <c r="B21" s="43" t="s">
        <v>133</v>
      </c>
      <c r="C21" s="44" t="str">
        <f>"Player ("&amp;COUNTA(C22:C24)&amp;")"</f>
        <v>Player (2)</v>
      </c>
      <c r="D21" s="44" t="s">
        <v>91</v>
      </c>
      <c r="E21" s="44" t="s">
        <v>101</v>
      </c>
      <c r="F21" s="64" t="str">
        <f>"Strong C Arm ("&amp;SUM(F22:F24)&amp;")"</f>
        <v>Strong C Arm (2)</v>
      </c>
      <c r="G21" s="48" t="s">
        <v>41</v>
      </c>
      <c r="H21" s="48" t="s">
        <v>41</v>
      </c>
      <c r="I21" s="48" t="s">
        <v>41</v>
      </c>
      <c r="J21" s="55" t="s">
        <v>136</v>
      </c>
      <c r="K21" s="47" t="s">
        <v>134</v>
      </c>
      <c r="L21" s="56" t="s">
        <v>135</v>
      </c>
      <c r="M21" s="48" t="s">
        <v>92</v>
      </c>
      <c r="N21" s="48" t="s">
        <v>94</v>
      </c>
      <c r="O21" s="48" t="s">
        <v>95</v>
      </c>
      <c r="P21" s="48" t="s">
        <v>96</v>
      </c>
      <c r="Q21" s="48" t="s">
        <v>97</v>
      </c>
      <c r="R21" s="48" t="s">
        <v>98</v>
      </c>
      <c r="S21" s="48" t="s">
        <v>99</v>
      </c>
      <c r="T21" s="49" t="s">
        <v>100</v>
      </c>
      <c r="U21" s="45" t="s">
        <v>137</v>
      </c>
      <c r="V21" s="45" t="s">
        <v>181</v>
      </c>
      <c r="W21" s="45" t="s">
        <v>138</v>
      </c>
      <c r="X21" s="45" t="s">
        <v>139</v>
      </c>
      <c r="Y21" s="45" t="s">
        <v>140</v>
      </c>
      <c r="Z21" s="45" t="s">
        <v>141</v>
      </c>
      <c r="AA21" s="45" t="s">
        <v>142</v>
      </c>
      <c r="AB21" s="45" t="s">
        <v>144</v>
      </c>
      <c r="AC21" s="60" t="s">
        <v>143</v>
      </c>
      <c r="AD21" s="48" t="s">
        <v>147</v>
      </c>
      <c r="AE21" s="48" t="s">
        <v>148</v>
      </c>
      <c r="AF21" s="48" t="s">
        <v>149</v>
      </c>
      <c r="AG21" s="48" t="s">
        <v>150</v>
      </c>
      <c r="AH21" s="48" t="s">
        <v>29</v>
      </c>
      <c r="AI21" s="48" t="s">
        <v>151</v>
      </c>
      <c r="AJ21" s="49" t="s">
        <v>152</v>
      </c>
      <c r="AK21" s="66" t="s">
        <v>157</v>
      </c>
      <c r="AL21" s="45" t="s">
        <v>137</v>
      </c>
      <c r="AM21" s="45" t="s">
        <v>181</v>
      </c>
      <c r="AN21" s="45" t="s">
        <v>138</v>
      </c>
      <c r="AO21" s="45" t="s">
        <v>139</v>
      </c>
      <c r="AP21" s="45" t="s">
        <v>140</v>
      </c>
      <c r="AQ21" s="45" t="s">
        <v>141</v>
      </c>
      <c r="AR21" s="45" t="s">
        <v>142</v>
      </c>
      <c r="AS21" s="45" t="s">
        <v>144</v>
      </c>
      <c r="AT21" s="60" t="s">
        <v>143</v>
      </c>
      <c r="AU21" s="63" t="s">
        <v>147</v>
      </c>
      <c r="AV21" s="48" t="s">
        <v>148</v>
      </c>
      <c r="AW21" s="48" t="s">
        <v>149</v>
      </c>
      <c r="AX21" s="48" t="s">
        <v>150</v>
      </c>
      <c r="AY21" s="49" t="s">
        <v>29</v>
      </c>
      <c r="AZ21" s="66" t="s">
        <v>197</v>
      </c>
    </row>
    <row r="22" spans="1:52">
      <c r="A22">
        <v>1</v>
      </c>
      <c r="B22" s="36" t="s">
        <v>92</v>
      </c>
      <c r="C22" s="37" t="s">
        <v>635</v>
      </c>
      <c r="D22" s="37">
        <f>IF($C22="","",VLOOKUP($C22,CTBat!$G$10:$BR$203,D$1,FALSE))</f>
        <v>30</v>
      </c>
      <c r="E22" s="37" t="str">
        <f>IF($C22="","",VLOOKUP($C22,CTBat!$G$10:$BR$203,E$1,FALSE))</f>
        <v>R</v>
      </c>
      <c r="F22" s="53">
        <f>IF($C22="","",IF(J22&gt;5,1,0))</f>
        <v>1</v>
      </c>
      <c r="G22" s="5" t="str">
        <f t="shared" ref="G22:H24" si="59">IF($C22="","","-")</f>
        <v>-</v>
      </c>
      <c r="H22" s="5" t="str">
        <f t="shared" si="59"/>
        <v>-</v>
      </c>
      <c r="I22" s="5" t="str">
        <f>IF($C22="","","-")</f>
        <v>-</v>
      </c>
      <c r="J22" s="58">
        <f>IF($C22="","",VLOOKUP($C22,CTBat!$G$10:$BR$203,J$1,FALSE))</f>
        <v>8</v>
      </c>
      <c r="K22" s="37">
        <f>IF($C22="","",VLOOKUP($C22,CTBat!$G$10:$BR$203,K$1,FALSE))</f>
        <v>5</v>
      </c>
      <c r="L22" s="38">
        <f>IF($C22="","",VLOOKUP($C22,CTBat!$G$10:$BR$203,L$1,FALSE))</f>
        <v>5</v>
      </c>
      <c r="M22" s="37">
        <f>IF($C22="","",VLOOKUP($C22,CTBat!$G$10:$BR$203,M$1,FALSE))</f>
        <v>9</v>
      </c>
      <c r="N22" s="37">
        <f>IF($C22="","",VLOOKUP($C22,CTBat!$G$10:$BR$203,N$1,FALSE))</f>
        <v>2</v>
      </c>
      <c r="O22" s="37" t="str">
        <f>IF($C22="","",VLOOKUP($C22,CTBat!$G$10:$BR$203,O$1,FALSE))</f>
        <v>-</v>
      </c>
      <c r="P22" s="37" t="str">
        <f>IF($C22="","",VLOOKUP($C22,CTBat!$G$10:$BR$203,P$1,FALSE))</f>
        <v>-</v>
      </c>
      <c r="Q22" s="37" t="str">
        <f>IF($C22="","",VLOOKUP($C22,CTBat!$G$10:$BR$203,Q$1,FALSE))</f>
        <v>-</v>
      </c>
      <c r="R22" s="37" t="str">
        <f>IF($C22="","",VLOOKUP($C22,CTBat!$G$10:$BR$203,R$1,FALSE))</f>
        <v>-</v>
      </c>
      <c r="S22" s="37" t="str">
        <f>IF($C22="","",VLOOKUP($C22,CTBat!$G$10:$BR$203,S$1,FALSE))</f>
        <v>-</v>
      </c>
      <c r="T22" s="38" t="str">
        <f>IF($C22="","",VLOOKUP($C22,CTBat!$G$10:$BR$203,T$1,FALSE))</f>
        <v>-</v>
      </c>
      <c r="U22" s="5">
        <f t="shared" ref="U22:U24" si="60">IF($C22="","",IF(OR(AD22+AG22&gt;14,AND(OR(AD22+AG22&gt;12,AND(AD22&gt;6,AG22&gt;6)),AI22&gt;6,OR(AJ22&gt;=AI22,AJ22&gt;6))),1,0))</f>
        <v>0</v>
      </c>
      <c r="V22" s="5">
        <f t="shared" ref="V22:V24" si="61">IF($C22="","",IF(OR(AND(AD22&gt;6,AH22&gt;6),AD22+AG22&gt;12),1,0))</f>
        <v>1</v>
      </c>
      <c r="W22" s="5">
        <f t="shared" ref="W22:W24" si="62">IF($C22="","",IF(AND(AD22&gt;6,AF22&gt;6,AG22&gt;6),1,0))</f>
        <v>1</v>
      </c>
      <c r="X22" s="5">
        <f t="shared" ref="X22:X24" si="63">IF($C22="","",IF(AND(AF22&gt;7,OR(AD22&gt;6,AG22&gt;6)),1,0))</f>
        <v>1</v>
      </c>
      <c r="Y22" s="5">
        <f t="shared" ref="Y22:Y24" si="64">IF($C22="","",IF(AND(AF22&gt;6,OR(AD22&gt;6,AG22&gt;6)),1,0))</f>
        <v>1</v>
      </c>
      <c r="Z22" s="5">
        <f t="shared" ref="Z22:Z24" si="65">IF($C22="","",IF(AND(OR(AD22&gt;6,AF22&gt;6),OR(AD22&gt;6,AG22&gt;6)),1,0))</f>
        <v>1</v>
      </c>
      <c r="AA22" s="5">
        <f t="shared" ref="AA22:AA24" si="66">IF($C22="","",IF(AND(AD22&gt;4,OR(AD22&gt;6,AF22&gt;6,AG22&gt;6)),1,0))</f>
        <v>1</v>
      </c>
      <c r="AB22" s="5">
        <f t="shared" ref="AB22:AB24" si="67">IF($C22="","",IF(AND(AD22&gt;4,OR(AD22&gt;6,AE22&gt;6,AF22&gt;6,AG22&gt;6)),1,0))</f>
        <v>1</v>
      </c>
      <c r="AC22" s="3">
        <f t="shared" ref="AC22:AC24" si="68">IF($C22="","",IF(AND(AD22&gt;4,MAX(AD22:AH22)&gt;6),1,0))</f>
        <v>1</v>
      </c>
      <c r="AD22" s="37">
        <f>IF($C22="","",VLOOKUP($C22,CTBat!$G$10:$BR$203,AD$1,FALSE))</f>
        <v>7</v>
      </c>
      <c r="AE22" s="37">
        <f>IF($C22="","",VLOOKUP($C22,CTBat!$G$10:$BR$203,AE$1,FALSE))</f>
        <v>7</v>
      </c>
      <c r="AF22" s="37">
        <f>IF($C22="","",VLOOKUP($C22,CTBat!$G$10:$BR$203,AF$1,FALSE))</f>
        <v>8</v>
      </c>
      <c r="AG22" s="37">
        <f>IF($C22="","",VLOOKUP($C22,CTBat!$G$10:$BR$203,AG$1,FALSE))</f>
        <v>7</v>
      </c>
      <c r="AH22" s="37">
        <f>IF($C22="","",VLOOKUP($C22,CTBat!$G$10:$BR$203,AH$1,FALSE))</f>
        <v>6</v>
      </c>
      <c r="AI22" s="37">
        <f>IF($C22="","",VLOOKUP($C22,CTBat!$G$10:$BR$203,AI$1,FALSE))</f>
        <v>1</v>
      </c>
      <c r="AJ22" s="38">
        <f>IF($C22="","",VLOOKUP($C22,CTBat!$G$10:$BR$203,AJ$1,FALSE))</f>
        <v>2</v>
      </c>
      <c r="AK22" s="67">
        <f>IF($C22="","",(5*AD22+4*AF22+3*AG22+2*AE22+1*AH22+0.5*(AVERAGE(AD22:AE22))+0.5*AVERAGE(AD22,AH22)+1*(AVERAGE(AD22,AF22))+1*AVERAGE(AD22,AG22))/(5+4+3+2+1+0.5+0.5+1+1))</f>
        <v>7.1805555555555554</v>
      </c>
      <c r="AL22" s="5">
        <f t="shared" ref="AL22:AL24" si="69">IF($C22="","",IF(AND(OR(AU22+AX22&gt;12,AND(AU22&gt;6,AX22&gt;6)),AI22&gt;6,OR(AJ22&gt;=AI22,AJ22&gt;6)),1,0))</f>
        <v>0</v>
      </c>
      <c r="AM22" s="5">
        <f t="shared" ref="AM22:AM24" si="70">IF($C22="","",IF(OR(AND(AU22&gt;6,AY22&gt;6),AU22+AX22&gt;12),1,0))</f>
        <v>1</v>
      </c>
      <c r="AN22" s="5">
        <f t="shared" ref="AN22:AN24" si="71">IF($C22="","",IF(AND(AU22&gt;6,AW22&gt;6,AX22&gt;6),1,0))</f>
        <v>1</v>
      </c>
      <c r="AO22" s="5">
        <f t="shared" ref="AO22:AO24" si="72">IF($C22="","",IF(AND(AW22&gt;7,OR(AU22&gt;6,AX22&gt;6)),1,0))</f>
        <v>1</v>
      </c>
      <c r="AP22" s="5">
        <f t="shared" ref="AP22:AP24" si="73">IF($C22="","",IF(AND(AW22&gt;6,OR(AU22&gt;6,AX22&gt;6)),1,0))</f>
        <v>1</v>
      </c>
      <c r="AQ22" s="5">
        <f t="shared" ref="AQ22:AQ24" si="74">IF($C22="","",IF(AND(OR(AU22&gt;6,AW22&gt;6),OR(AU22&gt;6,AX22&gt;6)),1,0))</f>
        <v>1</v>
      </c>
      <c r="AR22" s="5">
        <f t="shared" ref="AR22:AR24" si="75">IF($C22="","",IF(AND(AU22&gt;4,OR(AU22&gt;6,AW22&gt;6,AX22&gt;6)),1,0))</f>
        <v>1</v>
      </c>
      <c r="AS22" s="5">
        <f t="shared" ref="AS22:AS24" si="76">IF($C22="","",IF(AND(AU22&gt;4,OR(AU22&gt;6,AV22&gt;6,AW22&gt;6,AX22&gt;6)),1,0))</f>
        <v>1</v>
      </c>
      <c r="AT22" s="3">
        <f t="shared" ref="AT22:AT24" si="77">IF($C22="","",IF(AND(AU22&gt;4,MAX(AU22:AY22)&gt;6),1,0))</f>
        <v>1</v>
      </c>
      <c r="AU22" s="58">
        <f>IF($C22="","",VLOOKUP($C22,CTBat!$G$10:$BR$203,AU$1,FALSE))</f>
        <v>7</v>
      </c>
      <c r="AV22" s="37">
        <f>IF($C22="","",VLOOKUP($C22,CTBat!$G$10:$BR$203,AV$1,FALSE))</f>
        <v>7</v>
      </c>
      <c r="AW22" s="37">
        <f>IF($C22="","",VLOOKUP($C22,CTBat!$G$10:$BR$203,AW$1,FALSE))</f>
        <v>8</v>
      </c>
      <c r="AX22" s="37">
        <f>IF($C22="","",VLOOKUP($C22,CTBat!$G$10:$BR$203,AX$1,FALSE))</f>
        <v>7</v>
      </c>
      <c r="AY22" s="38">
        <f>IF($C22="","",VLOOKUP($C22,CTBat!$G$10:$BR$203,AY$1,FALSE))</f>
        <v>6</v>
      </c>
      <c r="AZ22" s="67">
        <f t="shared" ref="AZ22:AZ24" si="78">IF($C22="","",(5*AU22+4*AW22+3*AX22+2*AV22+1*AY22+0.5*(AVERAGE(AU22:AV22))+0.5*AVERAGE(AU22,AY22)+1*(AVERAGE(AU22,AW22))+1*AVERAGE(AU22,AX22))/(5+4+3+2+1+0.5+0.5+1+1))</f>
        <v>7.1805555555555554</v>
      </c>
    </row>
    <row r="23" spans="1:52">
      <c r="A23">
        <v>2</v>
      </c>
      <c r="B23" s="36" t="s">
        <v>101</v>
      </c>
      <c r="C23" s="37" t="s">
        <v>490</v>
      </c>
      <c r="D23" s="37">
        <f>IF($C23="","",VLOOKUP($C23,CTBat!$G$10:$BR$203,D$1,FALSE))</f>
        <v>27</v>
      </c>
      <c r="E23" s="37" t="str">
        <f>IF($C23="","",VLOOKUP($C23,CTBat!$G$10:$BR$203,E$1,FALSE))</f>
        <v>R</v>
      </c>
      <c r="F23" s="53">
        <f>IF($C23="","",IF(J23&gt;5,1,0))</f>
        <v>1</v>
      </c>
      <c r="G23" s="5" t="str">
        <f t="shared" si="59"/>
        <v>-</v>
      </c>
      <c r="H23" s="5" t="str">
        <f t="shared" si="59"/>
        <v>-</v>
      </c>
      <c r="I23" s="5" t="str">
        <f>IF($C23="","","-")</f>
        <v>-</v>
      </c>
      <c r="J23" s="58">
        <f>IF($C23="","",VLOOKUP($C23,CTBat!$G$10:$BR$203,J$1,FALSE))</f>
        <v>7</v>
      </c>
      <c r="K23" s="37">
        <f>IF($C23="","",VLOOKUP($C23,CTBat!$G$10:$BR$203,K$1,FALSE))</f>
        <v>4</v>
      </c>
      <c r="L23" s="38">
        <f>IF($C23="","",VLOOKUP($C23,CTBat!$G$10:$BR$203,L$1,FALSE))</f>
        <v>5</v>
      </c>
      <c r="M23" s="37">
        <f>IF($C23="","",VLOOKUP($C23,CTBat!$G$10:$BR$203,M$1,FALSE))</f>
        <v>8</v>
      </c>
      <c r="N23" s="37" t="str">
        <f>IF($C23="","",VLOOKUP($C23,CTBat!$G$10:$BR$203,N$1,FALSE))</f>
        <v>-</v>
      </c>
      <c r="O23" s="37" t="str">
        <f>IF($C23="","",VLOOKUP($C23,CTBat!$G$10:$BR$203,O$1,FALSE))</f>
        <v>-</v>
      </c>
      <c r="P23" s="37" t="str">
        <f>IF($C23="","",VLOOKUP($C23,CTBat!$G$10:$BR$203,P$1,FALSE))</f>
        <v>-</v>
      </c>
      <c r="Q23" s="37" t="str">
        <f>IF($C23="","",VLOOKUP($C23,CTBat!$G$10:$BR$203,Q$1,FALSE))</f>
        <v>-</v>
      </c>
      <c r="R23" s="37">
        <f>IF($C23="","",VLOOKUP($C23,CTBat!$G$10:$BR$203,R$1,FALSE))</f>
        <v>1</v>
      </c>
      <c r="S23" s="37" t="str">
        <f>IF($C23="","",VLOOKUP($C23,CTBat!$G$10:$BR$203,S$1,FALSE))</f>
        <v>-</v>
      </c>
      <c r="T23" s="38" t="str">
        <f>IF($C23="","",VLOOKUP($C23,CTBat!$G$10:$BR$203,T$1,FALSE))</f>
        <v>-</v>
      </c>
      <c r="U23" s="5">
        <f t="shared" si="60"/>
        <v>0</v>
      </c>
      <c r="V23" s="5">
        <f t="shared" si="61"/>
        <v>1</v>
      </c>
      <c r="W23" s="5">
        <f t="shared" ref="W23" si="79">IF($C23="","",IF(AND(AD23&gt;6,AF23&gt;6,AG23&gt;6),1,0))</f>
        <v>0</v>
      </c>
      <c r="X23" s="5">
        <f t="shared" si="63"/>
        <v>0</v>
      </c>
      <c r="Y23" s="5">
        <f t="shared" si="64"/>
        <v>0</v>
      </c>
      <c r="Z23" s="5">
        <f t="shared" si="65"/>
        <v>0</v>
      </c>
      <c r="AA23" s="5">
        <f t="shared" si="66"/>
        <v>1</v>
      </c>
      <c r="AB23" s="5">
        <f t="shared" si="67"/>
        <v>1</v>
      </c>
      <c r="AC23" s="3">
        <f t="shared" si="68"/>
        <v>1</v>
      </c>
      <c r="AD23" s="37">
        <f>IF($C23="","",VLOOKUP($C23,CTBat!$G$10:$BR$203,AD$1,FALSE))</f>
        <v>6</v>
      </c>
      <c r="AE23" s="37">
        <f>IF($C23="","",VLOOKUP($C23,CTBat!$G$10:$BR$203,AE$1,FALSE))</f>
        <v>6</v>
      </c>
      <c r="AF23" s="37">
        <f>IF($C23="","",VLOOKUP($C23,CTBat!$G$10:$BR$203,AF$1,FALSE))</f>
        <v>6</v>
      </c>
      <c r="AG23" s="37">
        <f>IF($C23="","",VLOOKUP($C23,CTBat!$G$10:$BR$203,AG$1,FALSE))</f>
        <v>7</v>
      </c>
      <c r="AH23" s="37">
        <f>IF($C23="","",VLOOKUP($C23,CTBat!$G$10:$BR$203,AH$1,FALSE))</f>
        <v>6</v>
      </c>
      <c r="AI23" s="37">
        <f>IF($C23="","",VLOOKUP($C23,CTBat!$G$10:$BR$203,AI$1,FALSE))</f>
        <v>1</v>
      </c>
      <c r="AJ23" s="38">
        <f>IF($C23="","",VLOOKUP($C23,CTBat!$G$10:$BR$203,AJ$1,FALSE))</f>
        <v>1</v>
      </c>
      <c r="AK23" s="67">
        <f t="shared" ref="AK23:AK24" si="80">IF($C23="","",(5*AD23+4*AF23+3*AG23+2*AE23+1*AH23+0.5*(AVERAGE(AD23:AE23))+0.5*AVERAGE(AD23,AH23)+1*(AVERAGE(AD23,AF23))+1*AVERAGE(AD23,AG23))/(5+4+3+2+1+0.5+0.5+1+1))</f>
        <v>6.1944444444444446</v>
      </c>
      <c r="AL23" s="5">
        <f t="shared" si="69"/>
        <v>0</v>
      </c>
      <c r="AM23" s="5">
        <f t="shared" si="70"/>
        <v>1</v>
      </c>
      <c r="AN23" s="5">
        <f t="shared" si="71"/>
        <v>0</v>
      </c>
      <c r="AO23" s="5">
        <f t="shared" si="72"/>
        <v>0</v>
      </c>
      <c r="AP23" s="5">
        <f t="shared" si="73"/>
        <v>0</v>
      </c>
      <c r="AQ23" s="5">
        <f t="shared" si="74"/>
        <v>1</v>
      </c>
      <c r="AR23" s="5">
        <f t="shared" si="75"/>
        <v>1</v>
      </c>
      <c r="AS23" s="5">
        <f t="shared" si="76"/>
        <v>1</v>
      </c>
      <c r="AT23" s="3">
        <f t="shared" si="77"/>
        <v>1</v>
      </c>
      <c r="AU23" s="58">
        <f>IF($C23="","",VLOOKUP($C23,CTBat!$G$10:$BR$203,AU$1,FALSE))</f>
        <v>7</v>
      </c>
      <c r="AV23" s="37">
        <f>IF($C23="","",VLOOKUP($C23,CTBat!$G$10:$BR$203,AV$1,FALSE))</f>
        <v>6</v>
      </c>
      <c r="AW23" s="37">
        <f>IF($C23="","",VLOOKUP($C23,CTBat!$G$10:$BR$203,AW$1,FALSE))</f>
        <v>6</v>
      </c>
      <c r="AX23" s="37">
        <f>IF($C23="","",VLOOKUP($C23,CTBat!$G$10:$BR$203,AX$1,FALSE))</f>
        <v>7</v>
      </c>
      <c r="AY23" s="38">
        <f>IF($C23="","",VLOOKUP($C23,CTBat!$G$10:$BR$203,AY$1,FALSE))</f>
        <v>6</v>
      </c>
      <c r="AZ23" s="67">
        <f t="shared" si="78"/>
        <v>6.5555555555555554</v>
      </c>
    </row>
    <row r="24" spans="1:52">
      <c r="A24">
        <v>3</v>
      </c>
      <c r="B24" s="39" t="s">
        <v>101</v>
      </c>
      <c r="C24" s="40"/>
      <c r="D24" s="40" t="str">
        <f>IF($C24="","",VLOOKUP($C24,CTBat!$G$10:$BR$203,D$1,FALSE))</f>
        <v/>
      </c>
      <c r="E24" s="40" t="str">
        <f>IF($C24="","",VLOOKUP($C24,CTBat!$G$10:$BR$203,E$1,FALSE))</f>
        <v/>
      </c>
      <c r="F24" s="54" t="str">
        <f>IF($C24="","",IF(J24&gt;5,1,0))</f>
        <v/>
      </c>
      <c r="G24" s="41" t="str">
        <f t="shared" si="59"/>
        <v/>
      </c>
      <c r="H24" s="41" t="str">
        <f t="shared" si="59"/>
        <v/>
      </c>
      <c r="I24" s="41" t="str">
        <f>IF($C24="","","-")</f>
        <v/>
      </c>
      <c r="J24" s="59" t="str">
        <f>IF($C24="","",VLOOKUP($C24,CTBat!$G$10:$BR$203,J$1,FALSE))</f>
        <v/>
      </c>
      <c r="K24" s="40" t="str">
        <f>IF($C24="","",VLOOKUP($C24,CTBat!$G$10:$BR$203,K$1,FALSE))</f>
        <v/>
      </c>
      <c r="L24" s="42" t="str">
        <f>IF($C24="","",VLOOKUP($C24,CTBat!$G$10:$BR$203,L$1,FALSE))</f>
        <v/>
      </c>
      <c r="M24" s="40" t="str">
        <f>IF($C24="","",VLOOKUP($C24,CTBat!$G$10:$BR$203,M$1,FALSE))</f>
        <v/>
      </c>
      <c r="N24" s="40" t="str">
        <f>IF($C24="","",VLOOKUP($C24,CTBat!$G$10:$BR$203,N$1,FALSE))</f>
        <v/>
      </c>
      <c r="O24" s="40" t="str">
        <f>IF($C24="","",VLOOKUP($C24,CTBat!$G$10:$BR$203,O$1,FALSE))</f>
        <v/>
      </c>
      <c r="P24" s="40" t="str">
        <f>IF($C24="","",VLOOKUP($C24,CTBat!$G$10:$BR$203,P$1,FALSE))</f>
        <v/>
      </c>
      <c r="Q24" s="40" t="str">
        <f>IF($C24="","",VLOOKUP($C24,CTBat!$G$10:$BR$203,Q$1,FALSE))</f>
        <v/>
      </c>
      <c r="R24" s="40" t="str">
        <f>IF($C24="","",VLOOKUP($C24,CTBat!$G$10:$BR$203,R$1,FALSE))</f>
        <v/>
      </c>
      <c r="S24" s="40" t="str">
        <f>IF($C24="","",VLOOKUP($C24,CTBat!$G$10:$BR$203,S$1,FALSE))</f>
        <v/>
      </c>
      <c r="T24" s="42" t="str">
        <f>IF($C24="","",VLOOKUP($C24,CTBat!$G$10:$BR$203,T$1,FALSE))</f>
        <v/>
      </c>
      <c r="U24" s="41" t="str">
        <f t="shared" si="60"/>
        <v/>
      </c>
      <c r="V24" s="41" t="str">
        <f t="shared" si="61"/>
        <v/>
      </c>
      <c r="W24" s="41" t="str">
        <f t="shared" si="62"/>
        <v/>
      </c>
      <c r="X24" s="41" t="str">
        <f t="shared" si="63"/>
        <v/>
      </c>
      <c r="Y24" s="41" t="str">
        <f t="shared" si="64"/>
        <v/>
      </c>
      <c r="Z24" s="41" t="str">
        <f t="shared" si="65"/>
        <v/>
      </c>
      <c r="AA24" s="41" t="str">
        <f t="shared" si="66"/>
        <v/>
      </c>
      <c r="AB24" s="41" t="str">
        <f t="shared" si="67"/>
        <v/>
      </c>
      <c r="AC24" s="62" t="str">
        <f t="shared" si="68"/>
        <v/>
      </c>
      <c r="AD24" s="40" t="str">
        <f>IF($C24="","",VLOOKUP($C24,CTBat!$G$10:$BR$203,AD$1,FALSE))</f>
        <v/>
      </c>
      <c r="AE24" s="40" t="str">
        <f>IF($C24="","",VLOOKUP($C24,CTBat!$G$10:$BR$203,AE$1,FALSE))</f>
        <v/>
      </c>
      <c r="AF24" s="40" t="str">
        <f>IF($C24="","",VLOOKUP($C24,CTBat!$G$10:$BR$203,AF$1,FALSE))</f>
        <v/>
      </c>
      <c r="AG24" s="40" t="str">
        <f>IF($C24="","",VLOOKUP($C24,CTBat!$G$10:$BR$203,AG$1,FALSE))</f>
        <v/>
      </c>
      <c r="AH24" s="40" t="str">
        <f>IF($C24="","",VLOOKUP($C24,CTBat!$G$10:$BR$203,AH$1,FALSE))</f>
        <v/>
      </c>
      <c r="AI24" s="40" t="str">
        <f>IF($C24="","",VLOOKUP($C24,CTBat!$G$10:$BR$203,AI$1,FALSE))</f>
        <v/>
      </c>
      <c r="AJ24" s="42" t="str">
        <f>IF($C24="","",VLOOKUP($C24,CTBat!$G$10:$BR$203,AJ$1,FALSE))</f>
        <v/>
      </c>
      <c r="AK24" s="68" t="str">
        <f t="shared" si="80"/>
        <v/>
      </c>
      <c r="AL24" s="41" t="str">
        <f t="shared" si="69"/>
        <v/>
      </c>
      <c r="AM24" s="41" t="str">
        <f t="shared" si="70"/>
        <v/>
      </c>
      <c r="AN24" s="41" t="str">
        <f t="shared" si="71"/>
        <v/>
      </c>
      <c r="AO24" s="41" t="str">
        <f t="shared" si="72"/>
        <v/>
      </c>
      <c r="AP24" s="41" t="str">
        <f t="shared" si="73"/>
        <v/>
      </c>
      <c r="AQ24" s="41" t="str">
        <f t="shared" si="74"/>
        <v/>
      </c>
      <c r="AR24" s="41" t="str">
        <f t="shared" si="75"/>
        <v/>
      </c>
      <c r="AS24" s="41" t="str">
        <f t="shared" si="76"/>
        <v/>
      </c>
      <c r="AT24" s="62" t="str">
        <f t="shared" si="77"/>
        <v/>
      </c>
      <c r="AU24" s="59" t="str">
        <f>IF($C24="","",VLOOKUP($C24,CTBat!$G$10:$BR$203,AU$1,FALSE))</f>
        <v/>
      </c>
      <c r="AV24" s="40" t="str">
        <f>IF($C24="","",VLOOKUP($C24,CTBat!$G$10:$BR$203,AV$1,FALSE))</f>
        <v/>
      </c>
      <c r="AW24" s="40" t="str">
        <f>IF($C24="","",VLOOKUP($C24,CTBat!$G$10:$BR$203,AW$1,FALSE))</f>
        <v/>
      </c>
      <c r="AX24" s="40" t="str">
        <f>IF($C24="","",VLOOKUP($C24,CTBat!$G$10:$BR$203,AX$1,FALSE))</f>
        <v/>
      </c>
      <c r="AY24" s="42" t="str">
        <f>IF($C24="","",VLOOKUP($C24,CTBat!$G$10:$BR$203,AY$1,FALSE))</f>
        <v/>
      </c>
      <c r="AZ24" s="68" t="str">
        <f t="shared" si="78"/>
        <v/>
      </c>
    </row>
    <row r="26" spans="1:52" s="1" customFormat="1">
      <c r="B26" s="248" t="s">
        <v>487</v>
      </c>
      <c r="C26" s="44" t="s">
        <v>118</v>
      </c>
      <c r="D26" s="44" t="s">
        <v>119</v>
      </c>
      <c r="E26" s="50" t="s">
        <v>101</v>
      </c>
      <c r="F26" s="21" t="s">
        <v>156</v>
      </c>
      <c r="G26" s="21" t="s">
        <v>160</v>
      </c>
      <c r="H26" s="70" t="s">
        <v>158</v>
      </c>
      <c r="I26" s="88" t="s">
        <v>182</v>
      </c>
      <c r="J26" s="43" t="s">
        <v>92</v>
      </c>
      <c r="K26" s="21" t="s">
        <v>145</v>
      </c>
      <c r="L26" s="21" t="s">
        <v>146</v>
      </c>
      <c r="M26" s="21" t="s">
        <v>203</v>
      </c>
      <c r="N26" s="21" t="s">
        <v>93</v>
      </c>
      <c r="O26" s="43" t="s">
        <v>204</v>
      </c>
      <c r="P26" s="70" t="s">
        <v>205</v>
      </c>
      <c r="Q26" s="43" t="s">
        <v>213</v>
      </c>
      <c r="R26" s="87" t="s">
        <v>231</v>
      </c>
      <c r="T26" s="43" t="s">
        <v>119</v>
      </c>
      <c r="U26" s="43" t="s">
        <v>214</v>
      </c>
      <c r="V26" s="70" t="s">
        <v>235</v>
      </c>
      <c r="W26" s="21" t="s">
        <v>213</v>
      </c>
      <c r="X26" s="70" t="s">
        <v>231</v>
      </c>
      <c r="Z26" s="1" t="s">
        <v>452</v>
      </c>
      <c r="AG26" s="336" t="s">
        <v>484</v>
      </c>
      <c r="AH26" s="337"/>
      <c r="AI26" s="337"/>
      <c r="AJ26" s="337"/>
      <c r="AK26" s="337"/>
      <c r="AL26" s="337"/>
      <c r="AM26" s="337"/>
      <c r="AN26" s="337"/>
      <c r="AO26" s="337"/>
      <c r="AP26" s="337"/>
      <c r="AQ26" s="337"/>
      <c r="AR26" s="337"/>
      <c r="AS26" s="337"/>
      <c r="AT26" s="338"/>
    </row>
    <row r="27" spans="1:52">
      <c r="B27" s="36">
        <v>1</v>
      </c>
      <c r="C27" s="57" t="s">
        <v>381</v>
      </c>
      <c r="D27" s="33" t="s">
        <v>100</v>
      </c>
      <c r="E27" s="38" t="str">
        <f t="shared" ref="E27" si="81">IF($C27="","",VLOOKUP($C27,$C$3:$AK$24,$E$1-2,FALSE))</f>
        <v>L</v>
      </c>
      <c r="F27" s="5">
        <f t="shared" ref="F27:F35" si="82">IF($C27="","",VLOOKUP($C27,$C$3:$AK$24,18+$B27,FALSE))</f>
        <v>1</v>
      </c>
      <c r="G27" s="5">
        <f>IF($C27="","",IF(VLOOKUP($C27,$C$3:$AK$24,18+3,FALSE)=1,3,IF(VLOOKUP($C27,$C$3:$AK$24,18+4,FALSE)=1,4,IF(VLOOKUP($C27,$C$3:$AK$24,18+1,FALSE)=1,1,IF(VLOOKUP($C27,$C$3:$AK$24,18+5,FALSE)=1,5,IF(VLOOKUP($C27,$C$3:$AK$24,18+2,FALSE)=1,2,IF(VLOOKUP($C27,$C$3:$AK$24,18+6,FALSE)=1,6,IF(VLOOKUP($C27,$C$3:$AK$24,18+7,FALSE)=1,7,IF(VLOOKUP($C27,$C$3:$AK$24,18+8,FALSE)=1,8,9)))))))))</f>
        <v>1</v>
      </c>
      <c r="H27" s="8">
        <f>IF($C27="","",VLOOKUP($C27,$C$3:$AK$24,35,FALSE))</f>
        <v>7.208333333333333</v>
      </c>
      <c r="I27" s="89">
        <v>3</v>
      </c>
      <c r="J27" s="53">
        <f>IF($C27="","",VLOOKUP($C27,$C$3:$AZ$24,17+AD$1,FALSE))</f>
        <v>10</v>
      </c>
      <c r="K27" s="5">
        <f t="shared" ref="K27:K35" si="83">IF($C27="","",VLOOKUP($C27,$C$3:$AZ$24,17+AE$1,FALSE))</f>
        <v>7</v>
      </c>
      <c r="L27" s="5">
        <f t="shared" ref="L27:L35" si="84">IF($C27="","",VLOOKUP($C27,$C$3:$AZ$24,17+AF$1,FALSE))</f>
        <v>4</v>
      </c>
      <c r="M27" s="5">
        <f t="shared" ref="M27:M35" si="85">IF($C27="","",VLOOKUP($C27,$C$3:$AZ$24,17+AG$1,FALSE))</f>
        <v>6</v>
      </c>
      <c r="N27" s="5">
        <f t="shared" ref="N27:N35" si="86">IF($C27="","",VLOOKUP($C27,$C$3:$AZ$24,17+AH$1,FALSE))</f>
        <v>8</v>
      </c>
      <c r="O27" s="53">
        <f t="shared" ref="O27:O35" si="87">IF($C27="","",VLOOKUP($C27,$C$3:$AZ$24,1+AI$1,FALSE))</f>
        <v>7</v>
      </c>
      <c r="P27" s="3">
        <f t="shared" ref="P27:P35" si="88">IF($C27="","",VLOOKUP($C27,$C$3:$AZ$24,1+AJ$1,FALSE))</f>
        <v>9</v>
      </c>
      <c r="Q27" s="116">
        <f t="shared" ref="Q27:Q35" si="89">IF($C27="","",IF($D27="DH","-",VLOOKUP($C27,$C$2:$AZ$24,9+VLOOKUP($D27,$T$26:$U$34,2,FALSE),FALSE)))</f>
        <v>10</v>
      </c>
      <c r="R27" s="101">
        <f t="shared" ref="R27:R35" si="90">IF($C27="","",IF($D27="DH","-",VLOOKUP($C27,$C$2:$AZ$24,VLOOKUP($D27,$T$26:$V$34,3,FALSE),FALSE)))</f>
        <v>10</v>
      </c>
      <c r="T27" s="53" t="s">
        <v>92</v>
      </c>
      <c r="U27" s="53">
        <v>2</v>
      </c>
      <c r="V27" s="3">
        <v>8</v>
      </c>
      <c r="W27" s="5">
        <f>VLOOKUP($T27,$D$26:$R$35,14,FALSE)</f>
        <v>9</v>
      </c>
      <c r="X27" s="3">
        <f>VLOOKUP($T27,$D$26:$R$35,15,FALSE)</f>
        <v>8</v>
      </c>
      <c r="Z27" t="s">
        <v>453</v>
      </c>
      <c r="AA27">
        <v>1</v>
      </c>
      <c r="AG27" s="201">
        <v>1</v>
      </c>
      <c r="AH27" s="342" t="s">
        <v>581</v>
      </c>
      <c r="AI27" s="342"/>
      <c r="AJ27" s="342"/>
      <c r="AK27" s="342"/>
      <c r="AL27" s="342"/>
      <c r="AM27" s="342"/>
      <c r="AN27" s="342"/>
      <c r="AO27" s="342"/>
      <c r="AP27" s="342"/>
      <c r="AQ27" s="342"/>
      <c r="AR27" s="342"/>
      <c r="AS27" s="342"/>
      <c r="AT27" s="343"/>
      <c r="AU27" t="s">
        <v>585</v>
      </c>
    </row>
    <row r="28" spans="1:52">
      <c r="B28" s="36">
        <v>2</v>
      </c>
      <c r="C28" s="58" t="s">
        <v>43</v>
      </c>
      <c r="D28" s="37" t="s">
        <v>97</v>
      </c>
      <c r="E28" s="38" t="str">
        <f>IF($C28="","",VLOOKUP($C28,$C$3:$AK$24,$E$1-2,FALSE))</f>
        <v>L</v>
      </c>
      <c r="F28" s="5">
        <f t="shared" si="82"/>
        <v>1</v>
      </c>
      <c r="G28" s="5">
        <f t="shared" ref="G28:G35" si="91">IF($C28="","",IF(VLOOKUP($C28,$C$3:$AK$24,18+3,FALSE)=1,3,IF(VLOOKUP($C28,$C$3:$AK$24,18+4,FALSE)=1,4,IF(VLOOKUP($C28,$C$3:$AK$24,18+1,FALSE)=1,1,IF(VLOOKUP($C28,$C$3:$AK$24,18+5,FALSE)=1,5,IF(VLOOKUP($C28,$C$3:$AK$24,18+2,FALSE)=1,2,IF(VLOOKUP($C28,$C$3:$AK$24,18+6,FALSE)=1,6,IF(VLOOKUP($C28,$C$3:$AK$24,18+7,FALSE)=1,7,IF(VLOOKUP($C28,$C$3:$AK$24,18+8,FALSE)=1,8,9)))))))))</f>
        <v>3</v>
      </c>
      <c r="H28" s="8">
        <f t="shared" ref="H28:H35" si="92">IF($C28="","",VLOOKUP($C28,$C$3:$AK$24,35,FALSE))</f>
        <v>8.0277777777777786</v>
      </c>
      <c r="I28" s="89">
        <v>5</v>
      </c>
      <c r="J28" s="53">
        <f t="shared" ref="J28:J35" si="93">IF($C28="","",VLOOKUP($C28,$C$3:$AZ$24,17+AD$1,FALSE))</f>
        <v>8</v>
      </c>
      <c r="K28" s="5">
        <f t="shared" si="83"/>
        <v>8</v>
      </c>
      <c r="L28" s="5">
        <f t="shared" si="84"/>
        <v>10</v>
      </c>
      <c r="M28" s="5">
        <f t="shared" si="85"/>
        <v>7</v>
      </c>
      <c r="N28" s="5">
        <f t="shared" si="86"/>
        <v>4</v>
      </c>
      <c r="O28" s="53">
        <f t="shared" si="87"/>
        <v>2</v>
      </c>
      <c r="P28" s="3">
        <f t="shared" si="88"/>
        <v>4</v>
      </c>
      <c r="Q28" s="117">
        <f t="shared" si="89"/>
        <v>7</v>
      </c>
      <c r="R28" s="101">
        <f t="shared" si="90"/>
        <v>8</v>
      </c>
      <c r="T28" s="53" t="s">
        <v>94</v>
      </c>
      <c r="U28" s="53">
        <v>3</v>
      </c>
      <c r="V28" s="3">
        <v>9</v>
      </c>
      <c r="W28" s="5">
        <f t="shared" ref="W28:W34" si="94">VLOOKUP($T28,$D$26:$R$35,14,FALSE)</f>
        <v>9</v>
      </c>
      <c r="X28" s="3">
        <f t="shared" ref="X28:X34" si="95">VLOOKUP($T28,$D$26:$R$35,15,FALSE)</f>
        <v>6</v>
      </c>
      <c r="Z28" t="s">
        <v>454</v>
      </c>
      <c r="AA28">
        <v>3</v>
      </c>
      <c r="AG28" s="77">
        <v>2</v>
      </c>
      <c r="AH28" s="331" t="s">
        <v>582</v>
      </c>
      <c r="AI28" s="331"/>
      <c r="AJ28" s="331"/>
      <c r="AK28" s="331"/>
      <c r="AL28" s="331"/>
      <c r="AM28" s="331"/>
      <c r="AN28" s="331"/>
      <c r="AO28" s="331"/>
      <c r="AP28" s="331"/>
      <c r="AQ28" s="331"/>
      <c r="AR28" s="331"/>
      <c r="AS28" s="331"/>
      <c r="AT28" s="332"/>
      <c r="AU28" t="s">
        <v>589</v>
      </c>
    </row>
    <row r="29" spans="1:52">
      <c r="B29" s="36">
        <v>3</v>
      </c>
      <c r="C29" s="58" t="s">
        <v>635</v>
      </c>
      <c r="D29" s="65" t="s">
        <v>92</v>
      </c>
      <c r="E29" s="38" t="str">
        <f t="shared" ref="E29:E35" si="96">IF($C29="","",VLOOKUP($C29,$C$3:$AK$24,$E$1-2,FALSE))</f>
        <v>R</v>
      </c>
      <c r="F29" s="5">
        <f t="shared" si="82"/>
        <v>1</v>
      </c>
      <c r="G29" s="5">
        <f t="shared" si="91"/>
        <v>3</v>
      </c>
      <c r="H29" s="8">
        <f t="shared" si="92"/>
        <v>7.1805555555555554</v>
      </c>
      <c r="I29" s="89">
        <v>1</v>
      </c>
      <c r="J29" s="53">
        <f t="shared" si="93"/>
        <v>7</v>
      </c>
      <c r="K29" s="5">
        <f t="shared" si="83"/>
        <v>7</v>
      </c>
      <c r="L29" s="5">
        <f t="shared" si="84"/>
        <v>8</v>
      </c>
      <c r="M29" s="5">
        <f t="shared" si="85"/>
        <v>7</v>
      </c>
      <c r="N29" s="5">
        <f t="shared" si="86"/>
        <v>6</v>
      </c>
      <c r="O29" s="53">
        <f t="shared" si="87"/>
        <v>1</v>
      </c>
      <c r="P29" s="3">
        <f t="shared" si="88"/>
        <v>2</v>
      </c>
      <c r="Q29" s="117">
        <f t="shared" si="89"/>
        <v>9</v>
      </c>
      <c r="R29" s="101">
        <f t="shared" si="90"/>
        <v>8</v>
      </c>
      <c r="T29" s="53" t="s">
        <v>95</v>
      </c>
      <c r="U29" s="53">
        <v>4</v>
      </c>
      <c r="V29" s="3">
        <v>9</v>
      </c>
      <c r="W29" s="5">
        <f t="shared" si="94"/>
        <v>7</v>
      </c>
      <c r="X29" s="3">
        <f t="shared" si="95"/>
        <v>5</v>
      </c>
      <c r="Z29" t="s">
        <v>457</v>
      </c>
      <c r="AA29">
        <v>5</v>
      </c>
      <c r="AG29" s="77">
        <v>3</v>
      </c>
      <c r="AH29" s="342" t="s">
        <v>588</v>
      </c>
      <c r="AI29" s="342"/>
      <c r="AJ29" s="342"/>
      <c r="AK29" s="342"/>
      <c r="AL29" s="342"/>
      <c r="AM29" s="342"/>
      <c r="AN29" s="342"/>
      <c r="AO29" s="342"/>
      <c r="AP29" s="342"/>
      <c r="AQ29" s="342"/>
      <c r="AR29" s="342"/>
      <c r="AS29" s="342"/>
      <c r="AT29" s="343"/>
      <c r="AU29" t="s">
        <v>645</v>
      </c>
    </row>
    <row r="30" spans="1:52">
      <c r="B30" s="36">
        <v>4</v>
      </c>
      <c r="C30" s="58" t="s">
        <v>600</v>
      </c>
      <c r="D30" s="65" t="s">
        <v>94</v>
      </c>
      <c r="E30" s="38" t="str">
        <f t="shared" si="96"/>
        <v>L</v>
      </c>
      <c r="F30" s="5">
        <f t="shared" si="82"/>
        <v>1</v>
      </c>
      <c r="G30" s="5">
        <f t="shared" si="91"/>
        <v>3</v>
      </c>
      <c r="H30" s="8">
        <f t="shared" si="92"/>
        <v>7.6805555555555554</v>
      </c>
      <c r="I30" s="89">
        <v>2</v>
      </c>
      <c r="J30" s="53">
        <f t="shared" si="93"/>
        <v>7</v>
      </c>
      <c r="K30" s="5">
        <f t="shared" si="83"/>
        <v>8</v>
      </c>
      <c r="L30" s="5">
        <f t="shared" si="84"/>
        <v>9</v>
      </c>
      <c r="M30" s="5">
        <f t="shared" si="85"/>
        <v>8</v>
      </c>
      <c r="N30" s="5">
        <f t="shared" si="86"/>
        <v>5</v>
      </c>
      <c r="O30" s="53">
        <f t="shared" si="87"/>
        <v>4</v>
      </c>
      <c r="P30" s="3">
        <f t="shared" si="88"/>
        <v>2</v>
      </c>
      <c r="Q30" s="117">
        <f t="shared" si="89"/>
        <v>9</v>
      </c>
      <c r="R30" s="101">
        <f t="shared" si="90"/>
        <v>6</v>
      </c>
      <c r="T30" s="53" t="s">
        <v>96</v>
      </c>
      <c r="U30" s="53">
        <v>5</v>
      </c>
      <c r="V30" s="3">
        <v>9</v>
      </c>
      <c r="W30" s="5">
        <f t="shared" si="94"/>
        <v>8</v>
      </c>
      <c r="X30" s="3">
        <f t="shared" si="95"/>
        <v>9</v>
      </c>
      <c r="Z30" t="s">
        <v>456</v>
      </c>
      <c r="AA30">
        <v>2</v>
      </c>
      <c r="AG30" s="77">
        <v>4</v>
      </c>
      <c r="AH30" s="342" t="s">
        <v>587</v>
      </c>
      <c r="AI30" s="342"/>
      <c r="AJ30" s="342"/>
      <c r="AK30" s="342"/>
      <c r="AL30" s="342"/>
      <c r="AM30" s="342"/>
      <c r="AN30" s="342"/>
      <c r="AO30" s="342"/>
      <c r="AP30" s="342"/>
      <c r="AQ30" s="342"/>
      <c r="AR30" s="342"/>
      <c r="AS30" s="342"/>
      <c r="AT30" s="343"/>
      <c r="AU30" t="s">
        <v>614</v>
      </c>
    </row>
    <row r="31" spans="1:52">
      <c r="B31" s="36">
        <v>5</v>
      </c>
      <c r="C31" s="58" t="s">
        <v>408</v>
      </c>
      <c r="D31" s="65" t="s">
        <v>98</v>
      </c>
      <c r="E31" s="38" t="str">
        <f t="shared" si="96"/>
        <v>L</v>
      </c>
      <c r="F31" s="5">
        <f t="shared" si="82"/>
        <v>1</v>
      </c>
      <c r="G31" s="5">
        <f t="shared" si="91"/>
        <v>1</v>
      </c>
      <c r="H31" s="8">
        <f t="shared" si="92"/>
        <v>7.3055555555555554</v>
      </c>
      <c r="I31" s="89">
        <v>4</v>
      </c>
      <c r="J31" s="53">
        <f t="shared" si="93"/>
        <v>8</v>
      </c>
      <c r="K31" s="5">
        <f t="shared" si="83"/>
        <v>7</v>
      </c>
      <c r="L31" s="5">
        <f t="shared" si="84"/>
        <v>7</v>
      </c>
      <c r="M31" s="5">
        <f t="shared" si="85"/>
        <v>6</v>
      </c>
      <c r="N31" s="5">
        <f t="shared" si="86"/>
        <v>9</v>
      </c>
      <c r="O31" s="53">
        <f t="shared" si="87"/>
        <v>7</v>
      </c>
      <c r="P31" s="3">
        <f t="shared" si="88"/>
        <v>10</v>
      </c>
      <c r="Q31" s="117">
        <f t="shared" si="89"/>
        <v>10</v>
      </c>
      <c r="R31" s="101">
        <f t="shared" si="90"/>
        <v>4</v>
      </c>
      <c r="T31" s="53" t="s">
        <v>97</v>
      </c>
      <c r="U31" s="53">
        <v>6</v>
      </c>
      <c r="V31" s="3">
        <v>9</v>
      </c>
      <c r="W31" s="5">
        <f t="shared" si="94"/>
        <v>7</v>
      </c>
      <c r="X31" s="3">
        <f t="shared" si="95"/>
        <v>8</v>
      </c>
      <c r="Z31" t="s">
        <v>455</v>
      </c>
      <c r="AA31">
        <v>4</v>
      </c>
      <c r="AG31" s="77">
        <v>5</v>
      </c>
      <c r="AH31" s="339" t="s">
        <v>580</v>
      </c>
      <c r="AI31" s="340"/>
      <c r="AJ31" s="340"/>
      <c r="AK31" s="340"/>
      <c r="AL31" s="340"/>
      <c r="AM31" s="340"/>
      <c r="AN31" s="340"/>
      <c r="AO31" s="340"/>
      <c r="AP31" s="340"/>
      <c r="AQ31" s="340"/>
      <c r="AR31" s="340"/>
      <c r="AS31" s="340"/>
      <c r="AT31" s="341"/>
    </row>
    <row r="32" spans="1:52">
      <c r="B32" s="36">
        <v>6</v>
      </c>
      <c r="C32" s="58" t="s">
        <v>386</v>
      </c>
      <c r="D32" s="65" t="s">
        <v>96</v>
      </c>
      <c r="E32" s="38" t="str">
        <f t="shared" si="96"/>
        <v>R</v>
      </c>
      <c r="F32" s="5">
        <f t="shared" si="82"/>
        <v>1</v>
      </c>
      <c r="G32" s="5">
        <f t="shared" si="91"/>
        <v>6</v>
      </c>
      <c r="H32" s="8">
        <f t="shared" si="92"/>
        <v>5.2638888888888893</v>
      </c>
      <c r="I32" s="89">
        <v>6</v>
      </c>
      <c r="J32" s="53">
        <f t="shared" si="93"/>
        <v>7</v>
      </c>
      <c r="K32" s="5">
        <f t="shared" si="83"/>
        <v>5</v>
      </c>
      <c r="L32" s="5">
        <f t="shared" si="84"/>
        <v>5</v>
      </c>
      <c r="M32" s="5">
        <f t="shared" si="85"/>
        <v>3</v>
      </c>
      <c r="N32" s="5">
        <f t="shared" si="86"/>
        <v>4</v>
      </c>
      <c r="O32" s="53">
        <f t="shared" si="87"/>
        <v>2</v>
      </c>
      <c r="P32" s="3">
        <f t="shared" si="88"/>
        <v>5</v>
      </c>
      <c r="Q32" s="117">
        <f t="shared" si="89"/>
        <v>8</v>
      </c>
      <c r="R32" s="101">
        <f t="shared" si="90"/>
        <v>9</v>
      </c>
      <c r="T32" s="53" t="s">
        <v>98</v>
      </c>
      <c r="U32" s="53">
        <v>7</v>
      </c>
      <c r="V32" s="3">
        <v>10</v>
      </c>
      <c r="W32" s="5">
        <f t="shared" si="94"/>
        <v>10</v>
      </c>
      <c r="X32" s="3">
        <f t="shared" si="95"/>
        <v>4</v>
      </c>
      <c r="Z32" t="s">
        <v>459</v>
      </c>
      <c r="AA32">
        <v>6</v>
      </c>
      <c r="AG32" s="77">
        <v>6</v>
      </c>
      <c r="AH32" s="330" t="s">
        <v>583</v>
      </c>
      <c r="AI32" s="331"/>
      <c r="AJ32" s="331"/>
      <c r="AK32" s="331"/>
      <c r="AL32" s="331"/>
      <c r="AM32" s="331"/>
      <c r="AN32" s="331"/>
      <c r="AO32" s="331"/>
      <c r="AP32" s="331"/>
      <c r="AQ32" s="331"/>
      <c r="AR32" s="331"/>
      <c r="AS32" s="331"/>
      <c r="AT32" s="332"/>
      <c r="AU32" t="s">
        <v>617</v>
      </c>
    </row>
    <row r="33" spans="2:47">
      <c r="B33" s="36">
        <v>7</v>
      </c>
      <c r="C33" s="58"/>
      <c r="D33" s="65"/>
      <c r="E33" s="38" t="str">
        <f t="shared" si="96"/>
        <v/>
      </c>
      <c r="F33" s="5" t="str">
        <f t="shared" si="82"/>
        <v/>
      </c>
      <c r="G33" s="5" t="str">
        <f t="shared" si="91"/>
        <v/>
      </c>
      <c r="H33" s="8" t="str">
        <f t="shared" si="92"/>
        <v/>
      </c>
      <c r="I33" s="89">
        <v>7</v>
      </c>
      <c r="J33" s="53" t="str">
        <f t="shared" si="93"/>
        <v/>
      </c>
      <c r="K33" s="5" t="str">
        <f t="shared" si="83"/>
        <v/>
      </c>
      <c r="L33" s="5" t="str">
        <f t="shared" si="84"/>
        <v/>
      </c>
      <c r="M33" s="5" t="str">
        <f t="shared" si="85"/>
        <v/>
      </c>
      <c r="N33" s="5" t="str">
        <f t="shared" si="86"/>
        <v/>
      </c>
      <c r="O33" s="53" t="str">
        <f t="shared" si="87"/>
        <v/>
      </c>
      <c r="P33" s="3" t="str">
        <f t="shared" si="88"/>
        <v/>
      </c>
      <c r="Q33" s="117" t="str">
        <f t="shared" si="89"/>
        <v/>
      </c>
      <c r="R33" s="101" t="str">
        <f t="shared" si="90"/>
        <v/>
      </c>
      <c r="T33" s="53" t="s">
        <v>99</v>
      </c>
      <c r="U33" s="53">
        <v>8</v>
      </c>
      <c r="V33" s="3">
        <v>10</v>
      </c>
      <c r="W33" s="5">
        <f t="shared" si="94"/>
        <v>10</v>
      </c>
      <c r="X33" s="3">
        <f t="shared" si="95"/>
        <v>9</v>
      </c>
      <c r="Z33" t="s">
        <v>460</v>
      </c>
      <c r="AA33">
        <v>7</v>
      </c>
      <c r="AG33" s="77">
        <v>7</v>
      </c>
      <c r="AH33" s="330" t="s">
        <v>584</v>
      </c>
      <c r="AI33" s="331"/>
      <c r="AJ33" s="331"/>
      <c r="AK33" s="331"/>
      <c r="AL33" s="331"/>
      <c r="AM33" s="331"/>
      <c r="AN33" s="331"/>
      <c r="AO33" s="331"/>
      <c r="AP33" s="331"/>
      <c r="AQ33" s="331"/>
      <c r="AR33" s="331"/>
      <c r="AS33" s="331"/>
      <c r="AT33" s="332"/>
      <c r="AU33" t="s">
        <v>586</v>
      </c>
    </row>
    <row r="34" spans="2:47">
      <c r="B34" s="36">
        <v>8</v>
      </c>
      <c r="C34" s="58" t="s">
        <v>51</v>
      </c>
      <c r="D34" s="65" t="s">
        <v>95</v>
      </c>
      <c r="E34" s="38" t="str">
        <f t="shared" si="96"/>
        <v>R</v>
      </c>
      <c r="F34" s="5">
        <f t="shared" si="82"/>
        <v>1</v>
      </c>
      <c r="G34" s="5">
        <f t="shared" si="91"/>
        <v>2</v>
      </c>
      <c r="H34" s="8">
        <f t="shared" si="92"/>
        <v>6.4444444444444446</v>
      </c>
      <c r="I34" s="89">
        <v>8</v>
      </c>
      <c r="J34" s="53">
        <f t="shared" si="93"/>
        <v>7</v>
      </c>
      <c r="K34" s="5">
        <f t="shared" si="83"/>
        <v>6</v>
      </c>
      <c r="L34" s="5">
        <f t="shared" si="84"/>
        <v>5</v>
      </c>
      <c r="M34" s="5">
        <f t="shared" si="85"/>
        <v>7</v>
      </c>
      <c r="N34" s="5">
        <f t="shared" si="86"/>
        <v>8</v>
      </c>
      <c r="O34" s="53">
        <f t="shared" si="87"/>
        <v>3</v>
      </c>
      <c r="P34" s="3">
        <f t="shared" si="88"/>
        <v>4</v>
      </c>
      <c r="Q34" s="117">
        <f t="shared" si="89"/>
        <v>7</v>
      </c>
      <c r="R34" s="101">
        <f t="shared" si="90"/>
        <v>5</v>
      </c>
      <c r="T34" s="54" t="s">
        <v>100</v>
      </c>
      <c r="U34" s="54">
        <v>9</v>
      </c>
      <c r="V34" s="62">
        <v>10</v>
      </c>
      <c r="W34" s="41">
        <f t="shared" si="94"/>
        <v>10</v>
      </c>
      <c r="X34" s="62">
        <f t="shared" si="95"/>
        <v>10</v>
      </c>
      <c r="Z34" t="s">
        <v>461</v>
      </c>
      <c r="AA34">
        <v>8</v>
      </c>
      <c r="AG34" s="77">
        <v>8</v>
      </c>
      <c r="AH34" s="333" t="s">
        <v>615</v>
      </c>
      <c r="AI34" s="333"/>
      <c r="AJ34" s="333"/>
      <c r="AK34" s="333"/>
      <c r="AL34" s="333"/>
      <c r="AM34" s="333"/>
      <c r="AN34" s="333"/>
      <c r="AO34" s="333"/>
      <c r="AP34" s="333"/>
      <c r="AQ34" s="333"/>
      <c r="AR34" s="333"/>
      <c r="AS34" s="333"/>
      <c r="AT34" s="333"/>
      <c r="AU34" t="s">
        <v>616</v>
      </c>
    </row>
    <row r="35" spans="2:47">
      <c r="B35" s="39">
        <v>9</v>
      </c>
      <c r="C35" s="59" t="s">
        <v>594</v>
      </c>
      <c r="D35" s="40" t="s">
        <v>99</v>
      </c>
      <c r="E35" s="42" t="str">
        <f t="shared" si="96"/>
        <v>L</v>
      </c>
      <c r="F35" s="41">
        <f t="shared" si="82"/>
        <v>1</v>
      </c>
      <c r="G35" s="41">
        <f t="shared" si="91"/>
        <v>1</v>
      </c>
      <c r="H35" s="69">
        <f t="shared" si="92"/>
        <v>6.25</v>
      </c>
      <c r="I35" s="90">
        <v>9</v>
      </c>
      <c r="J35" s="54">
        <f t="shared" si="93"/>
        <v>6</v>
      </c>
      <c r="K35" s="41">
        <f t="shared" si="83"/>
        <v>7</v>
      </c>
      <c r="L35" s="41">
        <f t="shared" si="84"/>
        <v>6</v>
      </c>
      <c r="M35" s="41">
        <f t="shared" si="85"/>
        <v>7</v>
      </c>
      <c r="N35" s="41">
        <f t="shared" si="86"/>
        <v>5</v>
      </c>
      <c r="O35" s="54">
        <f t="shared" si="87"/>
        <v>10</v>
      </c>
      <c r="P35" s="62">
        <f t="shared" si="88"/>
        <v>10</v>
      </c>
      <c r="Q35" s="118">
        <f t="shared" si="89"/>
        <v>10</v>
      </c>
      <c r="R35" s="102">
        <f t="shared" si="90"/>
        <v>9</v>
      </c>
      <c r="Z35" t="s">
        <v>458</v>
      </c>
      <c r="AA35">
        <v>9</v>
      </c>
      <c r="AG35" s="77">
        <v>9</v>
      </c>
      <c r="AH35" s="331"/>
      <c r="AI35" s="331"/>
      <c r="AJ35" s="331"/>
      <c r="AK35" s="331"/>
      <c r="AL35" s="331"/>
      <c r="AM35" s="331"/>
      <c r="AN35" s="331"/>
      <c r="AO35" s="331"/>
      <c r="AP35" s="331"/>
      <c r="AQ35" s="331"/>
      <c r="AR35" s="331"/>
      <c r="AS35" s="331"/>
      <c r="AT35" s="332"/>
    </row>
    <row r="36" spans="2:47">
      <c r="B36" s="4"/>
      <c r="C36" s="37"/>
      <c r="D36" s="37"/>
      <c r="E36" s="37"/>
      <c r="F36" s="5"/>
      <c r="G36" s="5"/>
      <c r="H36" s="9"/>
      <c r="AG36" s="78">
        <v>10</v>
      </c>
      <c r="AH36" s="334"/>
      <c r="AI36" s="334"/>
      <c r="AJ36" s="334"/>
      <c r="AK36" s="334"/>
      <c r="AL36" s="334"/>
      <c r="AM36" s="334"/>
      <c r="AN36" s="334"/>
      <c r="AO36" s="334"/>
      <c r="AP36" s="334"/>
      <c r="AQ36" s="334"/>
      <c r="AR36" s="334"/>
      <c r="AS36" s="334"/>
      <c r="AT36" s="335"/>
    </row>
    <row r="37" spans="2:47" s="1" customFormat="1">
      <c r="B37" s="248" t="s">
        <v>488</v>
      </c>
      <c r="C37" s="44" t="s">
        <v>118</v>
      </c>
      <c r="D37" s="44" t="s">
        <v>119</v>
      </c>
      <c r="E37" s="50" t="s">
        <v>101</v>
      </c>
      <c r="F37" s="249" t="s">
        <v>156</v>
      </c>
      <c r="G37" s="249" t="s">
        <v>160</v>
      </c>
      <c r="H37" s="250" t="s">
        <v>158</v>
      </c>
      <c r="I37" s="88" t="s">
        <v>182</v>
      </c>
      <c r="J37" s="248" t="s">
        <v>92</v>
      </c>
      <c r="K37" s="249" t="s">
        <v>145</v>
      </c>
      <c r="L37" s="249" t="s">
        <v>146</v>
      </c>
      <c r="M37" s="249" t="s">
        <v>203</v>
      </c>
      <c r="N37" s="249" t="s">
        <v>93</v>
      </c>
      <c r="O37" s="248" t="s">
        <v>204</v>
      </c>
      <c r="P37" s="250" t="s">
        <v>205</v>
      </c>
      <c r="Q37" s="248" t="s">
        <v>213</v>
      </c>
      <c r="R37" s="87" t="s">
        <v>231</v>
      </c>
      <c r="T37" s="248" t="s">
        <v>119</v>
      </c>
      <c r="U37" s="248" t="s">
        <v>214</v>
      </c>
      <c r="V37" s="250" t="s">
        <v>235</v>
      </c>
      <c r="W37" s="249" t="s">
        <v>213</v>
      </c>
      <c r="X37" s="250" t="s">
        <v>231</v>
      </c>
      <c r="Z37" s="1" t="s">
        <v>452</v>
      </c>
    </row>
    <row r="38" spans="2:47">
      <c r="B38" s="36">
        <v>1</v>
      </c>
      <c r="C38" s="57" t="s">
        <v>381</v>
      </c>
      <c r="D38" s="33" t="s">
        <v>100</v>
      </c>
      <c r="E38" s="38" t="str">
        <f t="shared" ref="E38" si="97">IF($C38="","",VLOOKUP($C38,$C$3:$AK$24,$E$1-2,FALSE))</f>
        <v>L</v>
      </c>
      <c r="F38" s="253">
        <f t="shared" ref="F38:F46" si="98">IF($C38="","",VLOOKUP($C38,$C$3:$AK$24,18+$B38,FALSE))</f>
        <v>1</v>
      </c>
      <c r="G38" s="253">
        <f>IF($C38="","",IF(VLOOKUP($C38,$C$3:$AK$24,18+3,FALSE)=1,3,IF(VLOOKUP($C38,$C$3:$AK$24,18+4,FALSE)=1,4,IF(VLOOKUP($C38,$C$3:$AK$24,18+1,FALSE)=1,1,IF(VLOOKUP($C38,$C$3:$AK$24,18+5,FALSE)=1,5,IF(VLOOKUP($C38,$C$3:$AK$24,18+2,FALSE)=1,2,IF(VLOOKUP($C38,$C$3:$AK$24,18+6,FALSE)=1,6,IF(VLOOKUP($C38,$C$3:$AK$24,18+7,FALSE)=1,7,IF(VLOOKUP($C38,$C$3:$AK$24,18+8,FALSE)=1,8,9)))))))))</f>
        <v>1</v>
      </c>
      <c r="H38" s="8">
        <f>IF($C38="","",VLOOKUP($C38,$C$3:$AK$24,35,FALSE))</f>
        <v>7.208333333333333</v>
      </c>
      <c r="I38" s="89">
        <v>3</v>
      </c>
      <c r="J38" s="53">
        <f>IF($C38="","",VLOOKUP($C38,$C$3:$AZ$24,17+AD$1,FALSE))</f>
        <v>10</v>
      </c>
      <c r="K38" s="253">
        <f t="shared" ref="K38:K46" si="99">IF($C38="","",VLOOKUP($C38,$C$3:$AZ$24,17+AE$1,FALSE))</f>
        <v>7</v>
      </c>
      <c r="L38" s="253">
        <f t="shared" ref="L38:L46" si="100">IF($C38="","",VLOOKUP($C38,$C$3:$AZ$24,17+AF$1,FALSE))</f>
        <v>4</v>
      </c>
      <c r="M38" s="253">
        <f t="shared" ref="M38:M46" si="101">IF($C38="","",VLOOKUP($C38,$C$3:$AZ$24,17+AG$1,FALSE))</f>
        <v>6</v>
      </c>
      <c r="N38" s="253">
        <f t="shared" ref="N38:N46" si="102">IF($C38="","",VLOOKUP($C38,$C$3:$AZ$24,17+AH$1,FALSE))</f>
        <v>8</v>
      </c>
      <c r="O38" s="53">
        <f t="shared" ref="O38:O46" si="103">IF($C38="","",VLOOKUP($C38,$C$3:$AZ$24,1+AI$1,FALSE))</f>
        <v>7</v>
      </c>
      <c r="P38" s="254">
        <f t="shared" ref="P38:P46" si="104">IF($C38="","",VLOOKUP($C38,$C$3:$AZ$24,1+AJ$1,FALSE))</f>
        <v>9</v>
      </c>
      <c r="Q38" s="116">
        <f t="shared" ref="Q38:Q46" si="105">IF($C38="","",IF($D38="DH","-",VLOOKUP($C38,$C$2:$AZ$24,9+VLOOKUP($D38,$T$26:$U$34,2,FALSE),FALSE)))</f>
        <v>10</v>
      </c>
      <c r="R38" s="101">
        <f t="shared" ref="R38:R46" si="106">IF($C38="","",IF($D38="DH","-",VLOOKUP($C38,$C$2:$AZ$24,VLOOKUP($D38,$T$26:$V$34,3,FALSE),FALSE)))</f>
        <v>10</v>
      </c>
      <c r="T38" s="53" t="s">
        <v>92</v>
      </c>
      <c r="U38" s="53">
        <v>2</v>
      </c>
      <c r="V38" s="254">
        <v>8</v>
      </c>
      <c r="W38" s="253">
        <f>VLOOKUP($T38,$D$37:$R$46,14,FALSE)</f>
        <v>9</v>
      </c>
      <c r="X38" s="254">
        <f>VLOOKUP($T38,$D$37:$R$46,15,FALSE)</f>
        <v>8</v>
      </c>
      <c r="Z38" t="s">
        <v>453</v>
      </c>
      <c r="AA38">
        <v>1</v>
      </c>
    </row>
    <row r="39" spans="2:47">
      <c r="B39" s="36">
        <v>2</v>
      </c>
      <c r="C39" s="58" t="s">
        <v>43</v>
      </c>
      <c r="D39" s="37" t="s">
        <v>97</v>
      </c>
      <c r="E39" s="38" t="str">
        <f>IF($C39="","",VLOOKUP($C39,$C$3:$AK$24,$E$1-2,FALSE))</f>
        <v>L</v>
      </c>
      <c r="F39" s="253">
        <f t="shared" si="98"/>
        <v>1</v>
      </c>
      <c r="G39" s="253">
        <f t="shared" ref="G39:G46" si="107">IF($C39="","",IF(VLOOKUP($C39,$C$3:$AK$24,18+3,FALSE)=1,3,IF(VLOOKUP($C39,$C$3:$AK$24,18+4,FALSE)=1,4,IF(VLOOKUP($C39,$C$3:$AK$24,18+1,FALSE)=1,1,IF(VLOOKUP($C39,$C$3:$AK$24,18+5,FALSE)=1,5,IF(VLOOKUP($C39,$C$3:$AK$24,18+2,FALSE)=1,2,IF(VLOOKUP($C39,$C$3:$AK$24,18+6,FALSE)=1,6,IF(VLOOKUP($C39,$C$3:$AK$24,18+7,FALSE)=1,7,IF(VLOOKUP($C39,$C$3:$AK$24,18+8,FALSE)=1,8,9)))))))))</f>
        <v>3</v>
      </c>
      <c r="H39" s="8">
        <f t="shared" ref="H39:H46" si="108">IF($C39="","",VLOOKUP($C39,$C$3:$AK$24,35,FALSE))</f>
        <v>8.0277777777777786</v>
      </c>
      <c r="I39" s="89">
        <v>5</v>
      </c>
      <c r="J39" s="53">
        <f t="shared" ref="J39:J46" si="109">IF($C39="","",VLOOKUP($C39,$C$3:$AZ$24,17+AD$1,FALSE))</f>
        <v>8</v>
      </c>
      <c r="K39" s="253">
        <f t="shared" si="99"/>
        <v>8</v>
      </c>
      <c r="L39" s="253">
        <f t="shared" si="100"/>
        <v>10</v>
      </c>
      <c r="M39" s="253">
        <f t="shared" si="101"/>
        <v>7</v>
      </c>
      <c r="N39" s="253">
        <f t="shared" si="102"/>
        <v>4</v>
      </c>
      <c r="O39" s="53">
        <f t="shared" si="103"/>
        <v>2</v>
      </c>
      <c r="P39" s="254">
        <f t="shared" si="104"/>
        <v>4</v>
      </c>
      <c r="Q39" s="117">
        <f t="shared" si="105"/>
        <v>7</v>
      </c>
      <c r="R39" s="101">
        <f t="shared" si="106"/>
        <v>8</v>
      </c>
      <c r="T39" s="53" t="s">
        <v>94</v>
      </c>
      <c r="U39" s="53">
        <v>3</v>
      </c>
      <c r="V39" s="254">
        <v>9</v>
      </c>
      <c r="W39" s="253">
        <f t="shared" ref="W39:W45" si="110">VLOOKUP($T39,$D$37:$R$46,14,FALSE)</f>
        <v>9</v>
      </c>
      <c r="X39" s="254">
        <f t="shared" ref="X39:X45" si="111">VLOOKUP($T39,$D$37:$R$46,15,FALSE)</f>
        <v>6</v>
      </c>
      <c r="Z39" t="s">
        <v>454</v>
      </c>
      <c r="AA39">
        <v>3</v>
      </c>
    </row>
    <row r="40" spans="2:47">
      <c r="B40" s="36">
        <v>3</v>
      </c>
      <c r="C40" s="58" t="s">
        <v>635</v>
      </c>
      <c r="D40" s="65" t="s">
        <v>92</v>
      </c>
      <c r="E40" s="38" t="str">
        <f t="shared" ref="E40:E46" si="112">IF($C40="","",VLOOKUP($C40,$C$3:$AK$24,$E$1-2,FALSE))</f>
        <v>R</v>
      </c>
      <c r="F40" s="253">
        <f t="shared" si="98"/>
        <v>1</v>
      </c>
      <c r="G40" s="253">
        <f t="shared" si="107"/>
        <v>3</v>
      </c>
      <c r="H40" s="8">
        <f t="shared" si="108"/>
        <v>7.1805555555555554</v>
      </c>
      <c r="I40" s="89">
        <v>1</v>
      </c>
      <c r="J40" s="53">
        <f t="shared" si="109"/>
        <v>7</v>
      </c>
      <c r="K40" s="253">
        <f t="shared" si="99"/>
        <v>7</v>
      </c>
      <c r="L40" s="253">
        <f t="shared" si="100"/>
        <v>8</v>
      </c>
      <c r="M40" s="253">
        <f t="shared" si="101"/>
        <v>7</v>
      </c>
      <c r="N40" s="253">
        <f t="shared" si="102"/>
        <v>6</v>
      </c>
      <c r="O40" s="53">
        <f t="shared" si="103"/>
        <v>1</v>
      </c>
      <c r="P40" s="254">
        <f t="shared" si="104"/>
        <v>2</v>
      </c>
      <c r="Q40" s="117">
        <f t="shared" si="105"/>
        <v>9</v>
      </c>
      <c r="R40" s="101">
        <f t="shared" si="106"/>
        <v>8</v>
      </c>
      <c r="T40" s="53" t="s">
        <v>95</v>
      </c>
      <c r="U40" s="53">
        <v>4</v>
      </c>
      <c r="V40" s="254">
        <v>9</v>
      </c>
      <c r="W40" s="253">
        <f t="shared" si="110"/>
        <v>7</v>
      </c>
      <c r="X40" s="254">
        <f t="shared" si="111"/>
        <v>5</v>
      </c>
      <c r="Z40" t="s">
        <v>457</v>
      </c>
      <c r="AA40">
        <v>5</v>
      </c>
    </row>
    <row r="41" spans="2:47">
      <c r="B41" s="36">
        <v>4</v>
      </c>
      <c r="C41" s="58" t="s">
        <v>600</v>
      </c>
      <c r="D41" s="65" t="s">
        <v>94</v>
      </c>
      <c r="E41" s="38" t="str">
        <f t="shared" si="112"/>
        <v>L</v>
      </c>
      <c r="F41" s="253">
        <f t="shared" si="98"/>
        <v>1</v>
      </c>
      <c r="G41" s="253">
        <f t="shared" si="107"/>
        <v>3</v>
      </c>
      <c r="H41" s="8">
        <f t="shared" si="108"/>
        <v>7.6805555555555554</v>
      </c>
      <c r="I41" s="89">
        <v>2</v>
      </c>
      <c r="J41" s="53">
        <f t="shared" si="109"/>
        <v>7</v>
      </c>
      <c r="K41" s="253">
        <f t="shared" si="99"/>
        <v>8</v>
      </c>
      <c r="L41" s="253">
        <f t="shared" si="100"/>
        <v>9</v>
      </c>
      <c r="M41" s="253">
        <f t="shared" si="101"/>
        <v>8</v>
      </c>
      <c r="N41" s="253">
        <f t="shared" si="102"/>
        <v>5</v>
      </c>
      <c r="O41" s="53">
        <f t="shared" si="103"/>
        <v>4</v>
      </c>
      <c r="P41" s="254">
        <f t="shared" si="104"/>
        <v>2</v>
      </c>
      <c r="Q41" s="117">
        <f t="shared" si="105"/>
        <v>9</v>
      </c>
      <c r="R41" s="101">
        <f t="shared" si="106"/>
        <v>6</v>
      </c>
      <c r="T41" s="53" t="s">
        <v>96</v>
      </c>
      <c r="U41" s="53">
        <v>5</v>
      </c>
      <c r="V41" s="254">
        <v>9</v>
      </c>
      <c r="W41" s="253">
        <f t="shared" si="110"/>
        <v>8</v>
      </c>
      <c r="X41" s="254">
        <f t="shared" si="111"/>
        <v>9</v>
      </c>
      <c r="Z41" t="s">
        <v>456</v>
      </c>
      <c r="AA41">
        <v>2</v>
      </c>
    </row>
    <row r="42" spans="2:47">
      <c r="B42" s="36">
        <v>5</v>
      </c>
      <c r="C42" s="58" t="s">
        <v>408</v>
      </c>
      <c r="D42" s="65" t="s">
        <v>98</v>
      </c>
      <c r="E42" s="38" t="str">
        <f t="shared" si="112"/>
        <v>L</v>
      </c>
      <c r="F42" s="253">
        <f t="shared" si="98"/>
        <v>1</v>
      </c>
      <c r="G42" s="253">
        <f t="shared" si="107"/>
        <v>1</v>
      </c>
      <c r="H42" s="8">
        <f t="shared" si="108"/>
        <v>7.3055555555555554</v>
      </c>
      <c r="I42" s="89">
        <v>4</v>
      </c>
      <c r="J42" s="53">
        <f t="shared" si="109"/>
        <v>8</v>
      </c>
      <c r="K42" s="253">
        <f t="shared" si="99"/>
        <v>7</v>
      </c>
      <c r="L42" s="253">
        <f t="shared" si="100"/>
        <v>7</v>
      </c>
      <c r="M42" s="253">
        <f t="shared" si="101"/>
        <v>6</v>
      </c>
      <c r="N42" s="253">
        <f t="shared" si="102"/>
        <v>9</v>
      </c>
      <c r="O42" s="53">
        <f t="shared" si="103"/>
        <v>7</v>
      </c>
      <c r="P42" s="254">
        <f t="shared" si="104"/>
        <v>10</v>
      </c>
      <c r="Q42" s="117">
        <f t="shared" si="105"/>
        <v>10</v>
      </c>
      <c r="R42" s="101">
        <f t="shared" si="106"/>
        <v>4</v>
      </c>
      <c r="T42" s="53" t="s">
        <v>97</v>
      </c>
      <c r="U42" s="53">
        <v>6</v>
      </c>
      <c r="V42" s="254">
        <v>9</v>
      </c>
      <c r="W42" s="253">
        <f t="shared" si="110"/>
        <v>7</v>
      </c>
      <c r="X42" s="254">
        <f t="shared" si="111"/>
        <v>8</v>
      </c>
      <c r="Z42" t="s">
        <v>455</v>
      </c>
      <c r="AA42">
        <v>4</v>
      </c>
    </row>
    <row r="43" spans="2:47">
      <c r="B43" s="36">
        <v>6</v>
      </c>
      <c r="C43" s="58" t="s">
        <v>386</v>
      </c>
      <c r="D43" s="65" t="s">
        <v>96</v>
      </c>
      <c r="E43" s="38" t="str">
        <f t="shared" si="112"/>
        <v>R</v>
      </c>
      <c r="F43" s="253">
        <f t="shared" si="98"/>
        <v>1</v>
      </c>
      <c r="G43" s="253">
        <f t="shared" si="107"/>
        <v>6</v>
      </c>
      <c r="H43" s="8">
        <f t="shared" si="108"/>
        <v>5.2638888888888893</v>
      </c>
      <c r="I43" s="89">
        <v>6</v>
      </c>
      <c r="J43" s="53">
        <f t="shared" si="109"/>
        <v>7</v>
      </c>
      <c r="K43" s="253">
        <f t="shared" si="99"/>
        <v>5</v>
      </c>
      <c r="L43" s="253">
        <f t="shared" si="100"/>
        <v>5</v>
      </c>
      <c r="M43" s="253">
        <f t="shared" si="101"/>
        <v>3</v>
      </c>
      <c r="N43" s="253">
        <f t="shared" si="102"/>
        <v>4</v>
      </c>
      <c r="O43" s="53">
        <f t="shared" si="103"/>
        <v>2</v>
      </c>
      <c r="P43" s="254">
        <f t="shared" si="104"/>
        <v>5</v>
      </c>
      <c r="Q43" s="117">
        <f t="shared" si="105"/>
        <v>8</v>
      </c>
      <c r="R43" s="101">
        <f t="shared" si="106"/>
        <v>9</v>
      </c>
      <c r="T43" s="53" t="s">
        <v>98</v>
      </c>
      <c r="U43" s="53">
        <v>7</v>
      </c>
      <c r="V43" s="254">
        <v>10</v>
      </c>
      <c r="W43" s="253">
        <f t="shared" si="110"/>
        <v>10</v>
      </c>
      <c r="X43" s="254">
        <f t="shared" si="111"/>
        <v>4</v>
      </c>
      <c r="Z43" t="s">
        <v>459</v>
      </c>
      <c r="AA43">
        <v>6</v>
      </c>
    </row>
    <row r="44" spans="2:47">
      <c r="B44" s="36">
        <v>7</v>
      </c>
      <c r="C44" s="58"/>
      <c r="D44" s="65"/>
      <c r="E44" s="38" t="str">
        <f t="shared" si="112"/>
        <v/>
      </c>
      <c r="F44" s="253" t="str">
        <f t="shared" si="98"/>
        <v/>
      </c>
      <c r="G44" s="253" t="str">
        <f t="shared" si="107"/>
        <v/>
      </c>
      <c r="H44" s="8" t="str">
        <f t="shared" si="108"/>
        <v/>
      </c>
      <c r="I44" s="89">
        <v>7</v>
      </c>
      <c r="J44" s="53" t="str">
        <f t="shared" si="109"/>
        <v/>
      </c>
      <c r="K44" s="253" t="str">
        <f t="shared" si="99"/>
        <v/>
      </c>
      <c r="L44" s="253" t="str">
        <f t="shared" si="100"/>
        <v/>
      </c>
      <c r="M44" s="253" t="str">
        <f t="shared" si="101"/>
        <v/>
      </c>
      <c r="N44" s="253" t="str">
        <f t="shared" si="102"/>
        <v/>
      </c>
      <c r="O44" s="53" t="str">
        <f t="shared" si="103"/>
        <v/>
      </c>
      <c r="P44" s="254" t="str">
        <f t="shared" si="104"/>
        <v/>
      </c>
      <c r="Q44" s="117" t="str">
        <f t="shared" si="105"/>
        <v/>
      </c>
      <c r="R44" s="101" t="str">
        <f t="shared" si="106"/>
        <v/>
      </c>
      <c r="T44" s="53" t="s">
        <v>99</v>
      </c>
      <c r="U44" s="53">
        <v>8</v>
      </c>
      <c r="V44" s="254">
        <v>10</v>
      </c>
      <c r="W44" s="253">
        <f t="shared" si="110"/>
        <v>10</v>
      </c>
      <c r="X44" s="254">
        <f t="shared" si="111"/>
        <v>9</v>
      </c>
      <c r="Z44" t="s">
        <v>460</v>
      </c>
      <c r="AA44">
        <v>7</v>
      </c>
    </row>
    <row r="45" spans="2:47">
      <c r="B45" s="36">
        <v>8</v>
      </c>
      <c r="C45" s="58" t="s">
        <v>51</v>
      </c>
      <c r="D45" s="65" t="s">
        <v>95</v>
      </c>
      <c r="E45" s="38" t="str">
        <f t="shared" si="112"/>
        <v>R</v>
      </c>
      <c r="F45" s="253">
        <f t="shared" si="98"/>
        <v>1</v>
      </c>
      <c r="G45" s="253">
        <f t="shared" si="107"/>
        <v>2</v>
      </c>
      <c r="H45" s="8">
        <f t="shared" si="108"/>
        <v>6.4444444444444446</v>
      </c>
      <c r="I45" s="89">
        <v>8</v>
      </c>
      <c r="J45" s="53">
        <f t="shared" si="109"/>
        <v>7</v>
      </c>
      <c r="K45" s="253">
        <f t="shared" si="99"/>
        <v>6</v>
      </c>
      <c r="L45" s="253">
        <f t="shared" si="100"/>
        <v>5</v>
      </c>
      <c r="M45" s="253">
        <f t="shared" si="101"/>
        <v>7</v>
      </c>
      <c r="N45" s="253">
        <f t="shared" si="102"/>
        <v>8</v>
      </c>
      <c r="O45" s="53">
        <f t="shared" si="103"/>
        <v>3</v>
      </c>
      <c r="P45" s="254">
        <f t="shared" si="104"/>
        <v>4</v>
      </c>
      <c r="Q45" s="117">
        <f t="shared" si="105"/>
        <v>7</v>
      </c>
      <c r="R45" s="101">
        <f t="shared" si="106"/>
        <v>5</v>
      </c>
      <c r="T45" s="54" t="s">
        <v>100</v>
      </c>
      <c r="U45" s="54">
        <v>9</v>
      </c>
      <c r="V45" s="252">
        <v>10</v>
      </c>
      <c r="W45" s="251">
        <f t="shared" si="110"/>
        <v>10</v>
      </c>
      <c r="X45" s="252">
        <f t="shared" si="111"/>
        <v>10</v>
      </c>
      <c r="Z45" t="s">
        <v>461</v>
      </c>
      <c r="AA45">
        <v>8</v>
      </c>
    </row>
    <row r="46" spans="2:47">
      <c r="B46" s="39">
        <v>9</v>
      </c>
      <c r="C46" s="59" t="s">
        <v>594</v>
      </c>
      <c r="D46" s="40" t="s">
        <v>99</v>
      </c>
      <c r="E46" s="42" t="str">
        <f t="shared" si="112"/>
        <v>L</v>
      </c>
      <c r="F46" s="251">
        <f t="shared" si="98"/>
        <v>1</v>
      </c>
      <c r="G46" s="251">
        <f t="shared" si="107"/>
        <v>1</v>
      </c>
      <c r="H46" s="69">
        <f t="shared" si="108"/>
        <v>6.25</v>
      </c>
      <c r="I46" s="90">
        <v>9</v>
      </c>
      <c r="J46" s="54">
        <f t="shared" si="109"/>
        <v>6</v>
      </c>
      <c r="K46" s="251">
        <f t="shared" si="99"/>
        <v>7</v>
      </c>
      <c r="L46" s="251">
        <f t="shared" si="100"/>
        <v>6</v>
      </c>
      <c r="M46" s="251">
        <f t="shared" si="101"/>
        <v>7</v>
      </c>
      <c r="N46" s="251">
        <f t="shared" si="102"/>
        <v>5</v>
      </c>
      <c r="O46" s="54">
        <f t="shared" si="103"/>
        <v>10</v>
      </c>
      <c r="P46" s="252">
        <f t="shared" si="104"/>
        <v>10</v>
      </c>
      <c r="Q46" s="118">
        <f t="shared" si="105"/>
        <v>10</v>
      </c>
      <c r="R46" s="102">
        <f t="shared" si="106"/>
        <v>9</v>
      </c>
      <c r="Z46" t="s">
        <v>458</v>
      </c>
      <c r="AA46">
        <v>9</v>
      </c>
    </row>
    <row r="47" spans="2:47">
      <c r="B47" s="4"/>
      <c r="C47" s="37"/>
      <c r="D47" s="37"/>
      <c r="E47" s="37"/>
      <c r="F47" s="253"/>
      <c r="G47" s="253"/>
      <c r="H47" s="9"/>
    </row>
    <row r="48" spans="2:47">
      <c r="B48" s="32" t="s">
        <v>194</v>
      </c>
      <c r="C48" s="35">
        <f>COUNTA(C3:C11,C14:C19,C22:C24)</f>
        <v>15</v>
      </c>
      <c r="D48" s="287">
        <f>C48/$C$50</f>
        <v>0.55555555555555558</v>
      </c>
      <c r="E48" s="37"/>
      <c r="F48" s="5"/>
      <c r="G48" s="5"/>
      <c r="H48" s="9"/>
    </row>
    <row r="49" spans="1:33">
      <c r="B49" s="36" t="s">
        <v>195</v>
      </c>
      <c r="C49" s="38">
        <f>COUNTA(C53:C58,C61:C62,C65:C70)</f>
        <v>12</v>
      </c>
      <c r="D49" s="287">
        <f>C49/$C$50</f>
        <v>0.44444444444444442</v>
      </c>
      <c r="E49" s="37"/>
      <c r="F49" s="5"/>
      <c r="G49" s="5"/>
      <c r="H49" s="9"/>
    </row>
    <row r="50" spans="1:33">
      <c r="B50" s="39" t="s">
        <v>196</v>
      </c>
      <c r="C50" s="42">
        <f>C48+C49</f>
        <v>27</v>
      </c>
      <c r="D50" s="37"/>
      <c r="E50" s="37"/>
      <c r="F50" s="5"/>
      <c r="G50" s="5"/>
      <c r="H50" s="9"/>
    </row>
    <row r="51" spans="1:33">
      <c r="I51">
        <v>6</v>
      </c>
      <c r="K51">
        <v>11</v>
      </c>
      <c r="L51">
        <v>12</v>
      </c>
      <c r="M51">
        <v>13</v>
      </c>
      <c r="N51">
        <v>17</v>
      </c>
      <c r="O51">
        <f>N51+2</f>
        <v>19</v>
      </c>
      <c r="P51">
        <f t="shared" ref="P51:Y51" si="113">O51+2</f>
        <v>21</v>
      </c>
      <c r="Q51">
        <f t="shared" si="113"/>
        <v>23</v>
      </c>
      <c r="R51">
        <f t="shared" si="113"/>
        <v>25</v>
      </c>
      <c r="S51">
        <f t="shared" si="113"/>
        <v>27</v>
      </c>
      <c r="T51">
        <f t="shared" si="113"/>
        <v>29</v>
      </c>
      <c r="U51">
        <f t="shared" si="113"/>
        <v>31</v>
      </c>
      <c r="V51">
        <f t="shared" si="113"/>
        <v>33</v>
      </c>
      <c r="W51">
        <f t="shared" si="113"/>
        <v>35</v>
      </c>
      <c r="X51">
        <f t="shared" si="113"/>
        <v>37</v>
      </c>
      <c r="Y51">
        <f t="shared" si="113"/>
        <v>39</v>
      </c>
      <c r="Z51">
        <v>41</v>
      </c>
      <c r="AA51">
        <v>42</v>
      </c>
      <c r="AB51">
        <v>43</v>
      </c>
      <c r="AC51">
        <v>46</v>
      </c>
      <c r="AD51">
        <v>14</v>
      </c>
      <c r="AE51">
        <v>15</v>
      </c>
      <c r="AF51">
        <v>16</v>
      </c>
      <c r="AG51">
        <v>48</v>
      </c>
    </row>
    <row r="52" spans="1:33" s="5" customFormat="1" ht="74.25">
      <c r="A52" s="73" t="s">
        <v>193</v>
      </c>
      <c r="B52" s="43" t="s">
        <v>126</v>
      </c>
      <c r="C52" s="44" t="s">
        <v>118</v>
      </c>
      <c r="D52" s="44" t="s">
        <v>91</v>
      </c>
      <c r="E52" s="50" t="s">
        <v>102</v>
      </c>
      <c r="F52" s="46" t="s">
        <v>183</v>
      </c>
      <c r="G52" s="46" t="s">
        <v>184</v>
      </c>
      <c r="H52" s="46" t="s">
        <v>185</v>
      </c>
      <c r="I52" s="76" t="s">
        <v>212</v>
      </c>
      <c r="J52" s="76" t="s">
        <v>189</v>
      </c>
      <c r="K52" s="74" t="s">
        <v>186</v>
      </c>
      <c r="L52" s="74" t="s">
        <v>187</v>
      </c>
      <c r="M52" s="75" t="s">
        <v>188</v>
      </c>
      <c r="N52" s="74" t="s">
        <v>60</v>
      </c>
      <c r="O52" s="74" t="s">
        <v>62</v>
      </c>
      <c r="P52" s="74" t="s">
        <v>64</v>
      </c>
      <c r="Q52" s="74" t="s">
        <v>66</v>
      </c>
      <c r="R52" s="74" t="s">
        <v>68</v>
      </c>
      <c r="S52" s="74" t="s">
        <v>108</v>
      </c>
      <c r="T52" s="74" t="s">
        <v>71</v>
      </c>
      <c r="U52" s="74" t="s">
        <v>73</v>
      </c>
      <c r="V52" s="74" t="s">
        <v>75</v>
      </c>
      <c r="W52" s="74" t="s">
        <v>77</v>
      </c>
      <c r="X52" s="74" t="s">
        <v>79</v>
      </c>
      <c r="Y52" s="75" t="s">
        <v>81</v>
      </c>
      <c r="Z52" s="79" t="s">
        <v>199</v>
      </c>
      <c r="AA52" s="74" t="s">
        <v>198</v>
      </c>
      <c r="AB52" s="75" t="s">
        <v>200</v>
      </c>
      <c r="AC52" s="288" t="s">
        <v>537</v>
      </c>
      <c r="AD52" s="74" t="s">
        <v>186</v>
      </c>
      <c r="AE52" s="74" t="s">
        <v>187</v>
      </c>
      <c r="AF52" s="75" t="s">
        <v>188</v>
      </c>
      <c r="AG52" s="288" t="s">
        <v>197</v>
      </c>
    </row>
    <row r="53" spans="1:33">
      <c r="A53" s="5">
        <v>1</v>
      </c>
      <c r="B53" s="36" t="s">
        <v>108</v>
      </c>
      <c r="C53" s="309" t="s">
        <v>4</v>
      </c>
      <c r="D53" s="37">
        <f>IF($C53="","",VLOOKUP($C53,CTPit!$E$10:$BG$214,D$1,FALSE))</f>
        <v>25</v>
      </c>
      <c r="E53" s="38" t="str">
        <f>IF($C53="","",VLOOKUP($C53,CTPit!$E$10:$BG$214,E$1+1,FALSE))</f>
        <v>R</v>
      </c>
      <c r="F53" s="5">
        <f t="shared" ref="F53:F58" si="114">IF($C53="","",IF(AVERAGE(K53:M53)&gt;7,1,0))</f>
        <v>1</v>
      </c>
      <c r="G53" s="5">
        <f t="shared" ref="G53:G58" si="115">IF($C53="","",IF(AVERAGE(K53:M53)&gt;6.5,1,0))</f>
        <v>1</v>
      </c>
      <c r="H53" s="5">
        <f t="shared" ref="H53:H58" si="116">IF($C53="","",IF(AVERAGE(K53:M53)&gt;6,1,0))</f>
        <v>1</v>
      </c>
      <c r="I53" s="98" t="str">
        <f>IF($C53="","",VLOOKUP($C53,CTPit!$E$10:$BG$72,I$51,FALSE))</f>
        <v>R</v>
      </c>
      <c r="J53" s="77">
        <f t="shared" ref="J53:J58" si="117">IF($C53="","",COUNT(N53:Y53))</f>
        <v>5</v>
      </c>
      <c r="K53" s="5">
        <f>IF($C53="","",VLOOKUP($C53,CTPit!$E$10:$BG$72,K$51,FALSE))</f>
        <v>8</v>
      </c>
      <c r="L53" s="5">
        <f>IF($C53="","",VLOOKUP($C53,CTPit!$E$10:$BG$72,L$51,FALSE))</f>
        <v>7</v>
      </c>
      <c r="M53" s="3">
        <f>IF($C53="","",VLOOKUP($C53,CTPit!$E$10:$BG$72,M$51,FALSE))</f>
        <v>8</v>
      </c>
      <c r="N53" s="5">
        <f>IF($C53="","",VLOOKUP($C53,CTPit!$E$10:$BG$72,N$51,FALSE))</f>
        <v>8</v>
      </c>
      <c r="O53" s="5">
        <f>IF($C53="","",VLOOKUP($C53,CTPit!$E$10:$BG$72,O$51,FALSE))</f>
        <v>8</v>
      </c>
      <c r="P53" s="5" t="str">
        <f>IF($C53="","",VLOOKUP($C53,CTPit!$E$10:$BG$72,P$51,FALSE))</f>
        <v>-</v>
      </c>
      <c r="Q53" s="5">
        <f>IF($C53="","",VLOOKUP($C53,CTPit!$E$10:$BG$72,Q$51,FALSE))</f>
        <v>8</v>
      </c>
      <c r="R53" s="5">
        <f>IF($C53="","",VLOOKUP($C53,CTPit!$E$10:$BG$72,R$51,FALSE))</f>
        <v>8</v>
      </c>
      <c r="S53" s="5" t="str">
        <f>IF($C53="","",VLOOKUP($C53,CTPit!$E$10:$BG$72,S$51,FALSE))</f>
        <v>-</v>
      </c>
      <c r="T53" s="5" t="str">
        <f>IF($C53="","",VLOOKUP($C53,CTPit!$E$10:$BG$72,T$51,FALSE))</f>
        <v>-</v>
      </c>
      <c r="U53" s="5" t="str">
        <f>IF($C53="","",VLOOKUP($C53,CTPit!$E$10:$BG$72,U$51,FALSE))</f>
        <v>-</v>
      </c>
      <c r="V53" s="5">
        <f>IF($C53="","",VLOOKUP($C53,CTPit!$E$10:$BG$72,V$51,FALSE))</f>
        <v>2</v>
      </c>
      <c r="W53" s="5" t="str">
        <f>IF($C53="","",VLOOKUP($C53,CTPit!$E$10:$BG$72,W$51,FALSE))</f>
        <v>-</v>
      </c>
      <c r="X53" s="5" t="str">
        <f>IF($C53="","",VLOOKUP($C53,CTPit!$E$10:$BG$72,X$51,FALSE))</f>
        <v>-</v>
      </c>
      <c r="Y53" s="3" t="str">
        <f>IF($C53="","",VLOOKUP($C53,CTPit!$E$10:$BG$72,Y$51,FALSE))</f>
        <v>-</v>
      </c>
      <c r="Z53" s="53" t="str">
        <f>IF($C53="","",VLOOKUP($C53,CTPit!$E$10:$BG$72,Z$51,FALSE))</f>
        <v>95-97 Mph</v>
      </c>
      <c r="AA53" s="5">
        <f>IF($C53="","",VLOOKUP($C53,CTPit!$E$10:$BG$72,AA$51,FALSE))</f>
        <v>8</v>
      </c>
      <c r="AB53" s="80">
        <f>IF($C53="","",VLOOKUP($C53,CTPit!$E$10:$BG$72,AB$51,FALSE))</f>
        <v>0.65</v>
      </c>
      <c r="AC53" s="289">
        <f>IF($C53="","",VLOOKUP($C53,CTPit!$E$10:$BG$72,AC$51,FALSE))</f>
        <v>8.6666666666666679</v>
      </c>
      <c r="AD53" s="275">
        <f>IF($C53="","",VLOOKUP($C53,CTPit!$E$10:$BG$72,AD$51,FALSE))</f>
        <v>8</v>
      </c>
      <c r="AE53" s="275">
        <f>IF($C53="","",VLOOKUP($C53,CTPit!$E$10:$BG$72,AE$51,FALSE))</f>
        <v>7</v>
      </c>
      <c r="AF53" s="276">
        <f>IF($C53="","",VLOOKUP($C53,CTPit!$E$10:$BG$72,AF$51,FALSE))</f>
        <v>9</v>
      </c>
      <c r="AG53" s="289">
        <f>IF($C53="","",VLOOKUP($C53,CTPit!$E$10:$BG$72,AG$51,FALSE))</f>
        <v>9</v>
      </c>
    </row>
    <row r="54" spans="1:33">
      <c r="A54" s="5">
        <v>2</v>
      </c>
      <c r="B54" s="36" t="s">
        <v>108</v>
      </c>
      <c r="C54" s="37" t="s">
        <v>334</v>
      </c>
      <c r="D54" s="37">
        <f>IF($C54="","",VLOOKUP($C54,CTPit!$E$10:$BG$214,D$1,FALSE))</f>
        <v>26</v>
      </c>
      <c r="E54" s="38" t="str">
        <f>IF($C54="","",VLOOKUP($C54,CTPit!$E$10:$BG$214,E$1+1,FALSE))</f>
        <v>R</v>
      </c>
      <c r="F54" s="5">
        <f t="shared" si="114"/>
        <v>0</v>
      </c>
      <c r="G54" s="5">
        <f t="shared" si="115"/>
        <v>1</v>
      </c>
      <c r="H54" s="5">
        <f t="shared" si="116"/>
        <v>1</v>
      </c>
      <c r="I54" s="99" t="str">
        <f>IF($C54="","",VLOOKUP($C54,CTPit!$E$10:$BG$72,I$51,FALSE))</f>
        <v>R</v>
      </c>
      <c r="J54" s="77">
        <f t="shared" si="117"/>
        <v>4</v>
      </c>
      <c r="K54" s="5">
        <f>IF($C54="","",VLOOKUP($C54,CTPit!$E$10:$BG$72,K$51,FALSE))</f>
        <v>8</v>
      </c>
      <c r="L54" s="5">
        <f>IF($C54="","",VLOOKUP($C54,CTPit!$E$10:$BG$72,L$51,FALSE))</f>
        <v>6</v>
      </c>
      <c r="M54" s="3">
        <f>IF($C54="","",VLOOKUP($C54,CTPit!$E$10:$BG$72,M$51,FALSE))</f>
        <v>6</v>
      </c>
      <c r="N54" s="5">
        <f>IF($C54="","",VLOOKUP($C54,CTPit!$E$10:$BG$72,N$51,FALSE))</f>
        <v>9</v>
      </c>
      <c r="O54" s="5">
        <f>IF($C54="","",VLOOKUP($C54,CTPit!$E$10:$BG$72,O$51,FALSE))</f>
        <v>8</v>
      </c>
      <c r="P54" s="5" t="str">
        <f>IF($C54="","",VLOOKUP($C54,CTPit!$E$10:$BG$72,P$51,FALSE))</f>
        <v>-</v>
      </c>
      <c r="Q54" s="5">
        <f>IF($C54="","",VLOOKUP($C54,CTPit!$E$10:$BG$72,Q$51,FALSE))</f>
        <v>8</v>
      </c>
      <c r="R54" s="5" t="str">
        <f>IF($C54="","",VLOOKUP($C54,CTPit!$E$10:$BG$72,R$51,FALSE))</f>
        <v>-</v>
      </c>
      <c r="S54" s="5">
        <f>IF($C54="","",VLOOKUP($C54,CTPit!$E$10:$BG$72,S$51,FALSE))</f>
        <v>5</v>
      </c>
      <c r="T54" s="5" t="str">
        <f>IF($C54="","",VLOOKUP($C54,CTPit!$E$10:$BG$72,T$51,FALSE))</f>
        <v>-</v>
      </c>
      <c r="U54" s="5" t="str">
        <f>IF($C54="","",VLOOKUP($C54,CTPit!$E$10:$BG$72,U$51,FALSE))</f>
        <v>-</v>
      </c>
      <c r="V54" s="5" t="str">
        <f>IF($C54="","",VLOOKUP($C54,CTPit!$E$10:$BG$72,V$51,FALSE))</f>
        <v>-</v>
      </c>
      <c r="W54" s="5" t="str">
        <f>IF($C54="","",VLOOKUP($C54,CTPit!$E$10:$BG$72,W$51,FALSE))</f>
        <v>-</v>
      </c>
      <c r="X54" s="5" t="str">
        <f>IF($C54="","",VLOOKUP($C54,CTPit!$E$10:$BG$72,X$51,FALSE))</f>
        <v>-</v>
      </c>
      <c r="Y54" s="3" t="str">
        <f>IF($C54="","",VLOOKUP($C54,CTPit!$E$10:$BG$72,Y$51,FALSE))</f>
        <v>-</v>
      </c>
      <c r="Z54" s="53" t="str">
        <f>IF($C54="","",VLOOKUP($C54,CTPit!$E$10:$BG$72,Z$51,FALSE))</f>
        <v>96-98 Mph</v>
      </c>
      <c r="AA54" s="5">
        <f>IF($C54="","",VLOOKUP($C54,CTPit!$E$10:$BG$72,AA$51,FALSE))</f>
        <v>9</v>
      </c>
      <c r="AB54" s="80">
        <f>IF($C54="","",VLOOKUP($C54,CTPit!$E$10:$BG$72,AB$51,FALSE))</f>
        <v>0.39</v>
      </c>
      <c r="AC54" s="67">
        <f>IF($C54="","",VLOOKUP($C54,CTPit!$E$10:$BG$72,AC$51,FALSE))</f>
        <v>7.166666666666667</v>
      </c>
      <c r="AD54" s="275">
        <f>IF($C54="","",VLOOKUP($C54,CTPit!$E$10:$BG$72,AD$51,FALSE))</f>
        <v>8</v>
      </c>
      <c r="AE54" s="275">
        <f>IF($C54="","",VLOOKUP($C54,CTPit!$E$10:$BG$72,AE$51,FALSE))</f>
        <v>6</v>
      </c>
      <c r="AF54" s="276">
        <f>IF($C54="","",VLOOKUP($C54,CTPit!$E$10:$BG$72,AF$51,FALSE))</f>
        <v>7</v>
      </c>
      <c r="AG54" s="67">
        <f>IF($C54="","",VLOOKUP($C54,CTPit!$E$10:$BG$72,AG$51,FALSE))</f>
        <v>7.5</v>
      </c>
    </row>
    <row r="55" spans="1:33">
      <c r="A55" s="5">
        <v>3</v>
      </c>
      <c r="B55" s="36" t="s">
        <v>108</v>
      </c>
      <c r="C55" s="267" t="s">
        <v>491</v>
      </c>
      <c r="D55" s="37">
        <f>IF($C55="","",VLOOKUP($C55,CTPit!$E$10:$BG$214,D$1,FALSE))</f>
        <v>25</v>
      </c>
      <c r="E55" s="38" t="str">
        <f>IF($C55="","",VLOOKUP($C55,CTPit!$E$10:$BG$214,E$1+1,FALSE))</f>
        <v>R</v>
      </c>
      <c r="F55" s="5">
        <f t="shared" si="114"/>
        <v>0</v>
      </c>
      <c r="G55" s="5">
        <f t="shared" si="115"/>
        <v>0</v>
      </c>
      <c r="H55" s="5">
        <f>IF($C55="","",IF(AVERAGE(K55:M55)&gt;6,1,0))</f>
        <v>1</v>
      </c>
      <c r="I55" s="99" t="str">
        <f>IF($C55="","",VLOOKUP($C55,CTPit!$E$10:$BG$72,I$51,FALSE))</f>
        <v>R</v>
      </c>
      <c r="J55" s="77">
        <f t="shared" si="117"/>
        <v>3</v>
      </c>
      <c r="K55" s="5">
        <f>IF($C55="","",VLOOKUP($C55,CTPit!$E$10:$BG$72,K$51,FALSE))</f>
        <v>8</v>
      </c>
      <c r="L55" s="5">
        <f>IF($C55="","",VLOOKUP($C55,CTPit!$E$10:$BG$72,L$51,FALSE))</f>
        <v>5</v>
      </c>
      <c r="M55" s="3">
        <f>IF($C55="","",VLOOKUP($C55,CTPit!$E$10:$BG$72,M$51,FALSE))</f>
        <v>6</v>
      </c>
      <c r="N55" s="5">
        <f>IF($C55="","",VLOOKUP($C55,CTPit!$E$10:$BG$72,N$51,FALSE))</f>
        <v>9</v>
      </c>
      <c r="O55" s="5">
        <f>IF($C55="","",VLOOKUP($C55,CTPit!$E$10:$BG$72,O$51,FALSE))</f>
        <v>8</v>
      </c>
      <c r="P55" s="5" t="str">
        <f>IF($C55="","",VLOOKUP($C55,CTPit!$E$10:$BG$72,P$51,FALSE))</f>
        <v>-</v>
      </c>
      <c r="Q55" s="5" t="str">
        <f>IF($C55="","",VLOOKUP($C55,CTPit!$E$10:$BG$72,Q$51,FALSE))</f>
        <v>-</v>
      </c>
      <c r="R55" s="5" t="str">
        <f>IF($C55="","",VLOOKUP($C55,CTPit!$E$10:$BG$72,R$51,FALSE))</f>
        <v>-</v>
      </c>
      <c r="S55" s="5">
        <f>IF($C55="","",VLOOKUP($C55,CTPit!$E$10:$BG$72,S$51,FALSE))</f>
        <v>7</v>
      </c>
      <c r="T55" s="5" t="str">
        <f>IF($C55="","",VLOOKUP($C55,CTPit!$E$10:$BG$72,T$51,FALSE))</f>
        <v>-</v>
      </c>
      <c r="U55" s="5" t="str">
        <f>IF($C55="","",VLOOKUP($C55,CTPit!$E$10:$BG$72,U$51,FALSE))</f>
        <v>-</v>
      </c>
      <c r="V55" s="5" t="str">
        <f>IF($C55="","",VLOOKUP($C55,CTPit!$E$10:$BG$72,V$51,FALSE))</f>
        <v>-</v>
      </c>
      <c r="W55" s="5" t="str">
        <f>IF($C55="","",VLOOKUP($C55,CTPit!$E$10:$BG$72,W$51,FALSE))</f>
        <v>-</v>
      </c>
      <c r="X55" s="5" t="str">
        <f>IF($C55="","",VLOOKUP($C55,CTPit!$E$10:$BG$72,X$51,FALSE))</f>
        <v>-</v>
      </c>
      <c r="Y55" s="3" t="str">
        <f>IF($C55="","",VLOOKUP($C55,CTPit!$E$10:$BG$72,Y$51,FALSE))</f>
        <v>-</v>
      </c>
      <c r="Z55" s="53" t="str">
        <f>IF($C55="","",VLOOKUP($C55,CTPit!$E$10:$BG$72,Z$51,FALSE))</f>
        <v>95-97 Mph</v>
      </c>
      <c r="AA55" s="5">
        <f>IF($C55="","",VLOOKUP($C55,CTPit!$E$10:$BG$72,AA$51,FALSE))</f>
        <v>8</v>
      </c>
      <c r="AB55" s="80">
        <f>IF($C55="","",VLOOKUP($C55,CTPit!$E$10:$BG$72,AB$51,FALSE))</f>
        <v>0.44</v>
      </c>
      <c r="AC55" s="67">
        <f>IF($C55="","",VLOOKUP($C55,CTPit!$E$10:$BG$72,AC$51,FALSE))</f>
        <v>6.583333333333333</v>
      </c>
      <c r="AD55" s="275">
        <f>IF($C55="","",VLOOKUP($C55,CTPit!$E$10:$BG$72,AD$51,FALSE))</f>
        <v>8</v>
      </c>
      <c r="AE55" s="275">
        <f>IF($C55="","",VLOOKUP($C55,CTPit!$E$10:$BG$72,AE$51,FALSE))</f>
        <v>5</v>
      </c>
      <c r="AF55" s="276">
        <f>IF($C55="","",VLOOKUP($C55,CTPit!$E$10:$BG$72,AF$51,FALSE))</f>
        <v>6</v>
      </c>
      <c r="AG55" s="67">
        <f>IF($C55="","",VLOOKUP($C55,CTPit!$E$10:$BG$72,AG$51,FALSE))</f>
        <v>6.583333333333333</v>
      </c>
    </row>
    <row r="56" spans="1:33">
      <c r="A56" s="5">
        <v>4</v>
      </c>
      <c r="B56" s="36" t="s">
        <v>108</v>
      </c>
      <c r="C56" s="65" t="s">
        <v>409</v>
      </c>
      <c r="D56" s="37">
        <f>IF($C56="","",VLOOKUP($C56,CTPit!$E$10:$BG$214,D$1,FALSE))</f>
        <v>28</v>
      </c>
      <c r="E56" s="38" t="str">
        <f>IF($C56="","",VLOOKUP($C56,CTPit!$E$10:$BG$214,E$1+1,FALSE))</f>
        <v>L</v>
      </c>
      <c r="F56" s="5">
        <f t="shared" si="114"/>
        <v>0</v>
      </c>
      <c r="G56" s="5">
        <f t="shared" si="115"/>
        <v>0</v>
      </c>
      <c r="H56" s="5">
        <f t="shared" si="116"/>
        <v>0</v>
      </c>
      <c r="I56" s="99" t="str">
        <f>IF($C56="","",VLOOKUP($C56,CTPit!$E$10:$BG$72,I$51,FALSE))</f>
        <v>L</v>
      </c>
      <c r="J56" s="77">
        <f t="shared" si="117"/>
        <v>3</v>
      </c>
      <c r="K56" s="5">
        <f>IF($C56="","",VLOOKUP($C56,CTPit!$E$10:$BG$72,K$51,FALSE))</f>
        <v>8</v>
      </c>
      <c r="L56" s="5">
        <f>IF($C56="","",VLOOKUP($C56,CTPit!$E$10:$BG$72,L$51,FALSE))</f>
        <v>5</v>
      </c>
      <c r="M56" s="3">
        <f>IF($C56="","",VLOOKUP($C56,CTPit!$E$10:$BG$72,M$51,FALSE))</f>
        <v>5</v>
      </c>
      <c r="N56" s="5">
        <f>IF($C56="","",VLOOKUP($C56,CTPit!$E$10:$BG$72,N$51,FALSE))</f>
        <v>8</v>
      </c>
      <c r="O56" s="5">
        <f>IF($C56="","",VLOOKUP($C56,CTPit!$E$10:$BG$72,O$51,FALSE))</f>
        <v>10</v>
      </c>
      <c r="P56" s="5" t="str">
        <f>IF($C56="","",VLOOKUP($C56,CTPit!$E$10:$BG$72,P$51,FALSE))</f>
        <v>-</v>
      </c>
      <c r="Q56" s="5">
        <f>IF($C56="","",VLOOKUP($C56,CTPit!$E$10:$BG$72,Q$51,FALSE))</f>
        <v>8</v>
      </c>
      <c r="R56" s="5" t="str">
        <f>IF($C56="","",VLOOKUP($C56,CTPit!$E$10:$BG$72,R$51,FALSE))</f>
        <v>-</v>
      </c>
      <c r="S56" s="5" t="str">
        <f>IF($C56="","",VLOOKUP($C56,CTPit!$E$10:$BG$72,S$51,FALSE))</f>
        <v>-</v>
      </c>
      <c r="T56" s="5" t="str">
        <f>IF($C56="","",VLOOKUP($C56,CTPit!$E$10:$BG$72,T$51,FALSE))</f>
        <v>-</v>
      </c>
      <c r="U56" s="5" t="str">
        <f>IF($C56="","",VLOOKUP($C56,CTPit!$E$10:$BG$72,U$51,FALSE))</f>
        <v>-</v>
      </c>
      <c r="V56" s="5" t="str">
        <f>IF($C56="","",VLOOKUP($C56,CTPit!$E$10:$BG$72,V$51,FALSE))</f>
        <v>-</v>
      </c>
      <c r="W56" s="5" t="str">
        <f>IF($C56="","",VLOOKUP($C56,CTPit!$E$10:$BG$72,W$51,FALSE))</f>
        <v>-</v>
      </c>
      <c r="X56" s="5" t="str">
        <f>IF($C56="","",VLOOKUP($C56,CTPit!$E$10:$BG$72,X$51,FALSE))</f>
        <v>-</v>
      </c>
      <c r="Y56" s="3" t="str">
        <f>IF($C56="","",VLOOKUP($C56,CTPit!$E$10:$BG$72,Y$51,FALSE))</f>
        <v>-</v>
      </c>
      <c r="Z56" s="53" t="str">
        <f>IF($C56="","",VLOOKUP($C56,CTPit!$E$10:$BG$72,Z$51,FALSE))</f>
        <v>93-95 Mph</v>
      </c>
      <c r="AA56" s="5">
        <f>IF($C56="","",VLOOKUP($C56,CTPit!$E$10:$BG$72,AA$51,FALSE))</f>
        <v>9</v>
      </c>
      <c r="AB56" s="80">
        <f>IF($C56="","",VLOOKUP($C56,CTPit!$E$10:$BG$72,AB$51,FALSE))</f>
        <v>0.38</v>
      </c>
      <c r="AC56" s="67">
        <f>IF($C56="","",VLOOKUP($C56,CTPit!$E$10:$BG$72,AC$51,FALSE))</f>
        <v>6.25</v>
      </c>
      <c r="AD56" s="275">
        <f>IF($C56="","",VLOOKUP($C56,CTPit!$E$10:$BG$72,AD$51,FALSE))</f>
        <v>8</v>
      </c>
      <c r="AE56" s="275">
        <f>IF($C56="","",VLOOKUP($C56,CTPit!$E$10:$BG$72,AE$51,FALSE))</f>
        <v>5</v>
      </c>
      <c r="AF56" s="276">
        <f>IF($C56="","",VLOOKUP($C56,CTPit!$E$10:$BG$72,AF$51,FALSE))</f>
        <v>5</v>
      </c>
      <c r="AG56" s="67">
        <f>IF($C56="","",VLOOKUP($C56,CTPit!$E$10:$BG$72,AG$51,FALSE))</f>
        <v>6.25</v>
      </c>
    </row>
    <row r="57" spans="1:33">
      <c r="A57" s="5">
        <v>5</v>
      </c>
      <c r="B57" s="36" t="s">
        <v>108</v>
      </c>
      <c r="C57" s="65" t="s">
        <v>220</v>
      </c>
      <c r="D57" s="37">
        <f>IF($C57="","",VLOOKUP($C57,CTPit!$E$10:$BG$214,D$1,FALSE))</f>
        <v>24</v>
      </c>
      <c r="E57" s="38" t="str">
        <f>IF($C57="","",VLOOKUP($C57,CTPit!$E$10:$BG$214,E$1+1,FALSE))</f>
        <v>R</v>
      </c>
      <c r="F57" s="5">
        <f t="shared" si="114"/>
        <v>0</v>
      </c>
      <c r="G57" s="5">
        <f t="shared" si="115"/>
        <v>1</v>
      </c>
      <c r="H57" s="5">
        <f t="shared" si="116"/>
        <v>1</v>
      </c>
      <c r="I57" s="99" t="str">
        <f>IF($C57="","",VLOOKUP($C57,CTPit!$E$10:$BG$72,I$51,FALSE))</f>
        <v>R</v>
      </c>
      <c r="J57" s="77">
        <f t="shared" si="117"/>
        <v>4</v>
      </c>
      <c r="K57" s="5">
        <f>IF($C57="","",VLOOKUP($C57,CTPit!$E$10:$BG$72,K$51,FALSE))</f>
        <v>9</v>
      </c>
      <c r="L57" s="5">
        <f>IF($C57="","",VLOOKUP($C57,CTPit!$E$10:$BG$72,L$51,FALSE))</f>
        <v>6</v>
      </c>
      <c r="M57" s="3">
        <f>IF($C57="","",VLOOKUP($C57,CTPit!$E$10:$BG$72,M$51,FALSE))</f>
        <v>5</v>
      </c>
      <c r="N57" s="5">
        <f>IF($C57="","",VLOOKUP($C57,CTPit!$E$10:$BG$72,N$51,FALSE))</f>
        <v>8</v>
      </c>
      <c r="O57" s="5">
        <f>IF($C57="","",VLOOKUP($C57,CTPit!$E$10:$BG$72,O$51,FALSE))</f>
        <v>3</v>
      </c>
      <c r="P57" s="5" t="str">
        <f>IF($C57="","",VLOOKUP($C57,CTPit!$E$10:$BG$72,P$51,FALSE))</f>
        <v>-</v>
      </c>
      <c r="Q57" s="5">
        <f>IF($C57="","",VLOOKUP($C57,CTPit!$E$10:$BG$72,Q$51,FALSE))</f>
        <v>5</v>
      </c>
      <c r="R57" s="5">
        <f>IF($C57="","",VLOOKUP($C57,CTPit!$E$10:$BG$72,R$51,FALSE))</f>
        <v>6</v>
      </c>
      <c r="S57" s="5" t="str">
        <f>IF($C57="","",VLOOKUP($C57,CTPit!$E$10:$BG$72,S$51,FALSE))</f>
        <v>-</v>
      </c>
      <c r="T57" s="5" t="str">
        <f>IF($C57="","",VLOOKUP($C57,CTPit!$E$10:$BG$72,T$51,FALSE))</f>
        <v>-</v>
      </c>
      <c r="U57" s="5" t="str">
        <f>IF($C57="","",VLOOKUP($C57,CTPit!$E$10:$BG$72,U$51,FALSE))</f>
        <v>-</v>
      </c>
      <c r="V57" s="5" t="str">
        <f>IF($C57="","",VLOOKUP($C57,CTPit!$E$10:$BG$72,V$51,FALSE))</f>
        <v>-</v>
      </c>
      <c r="W57" s="5" t="str">
        <f>IF($C57="","",VLOOKUP($C57,CTPit!$E$10:$BG$72,W$51,FALSE))</f>
        <v>-</v>
      </c>
      <c r="X57" s="5" t="str">
        <f>IF($C57="","",VLOOKUP($C57,CTPit!$E$10:$BG$72,X$51,FALSE))</f>
        <v>-</v>
      </c>
      <c r="Y57" s="3" t="str">
        <f>IF($C57="","",VLOOKUP($C57,CTPit!$E$10:$BG$72,Y$51,FALSE))</f>
        <v>-</v>
      </c>
      <c r="Z57" s="53" t="str">
        <f>IF($C57="","",VLOOKUP($C57,CTPit!$E$10:$BG$72,Z$51,FALSE))</f>
        <v>99-101 Mph</v>
      </c>
      <c r="AA57" s="5">
        <f>IF($C57="","",VLOOKUP($C57,CTPit!$E$10:$BG$72,AA$51,FALSE))</f>
        <v>9</v>
      </c>
      <c r="AB57" s="80">
        <f>IF($C57="","",VLOOKUP($C57,CTPit!$E$10:$BG$72,AB$51,FALSE))</f>
        <v>0.56999999999999995</v>
      </c>
      <c r="AC57" s="67">
        <f>IF($C57="","",VLOOKUP($C57,CTPit!$E$10:$BG$72,AC$51,FALSE))</f>
        <v>7.416666666666667</v>
      </c>
      <c r="AD57" s="275">
        <f>IF($C57="","",VLOOKUP($C57,CTPit!$E$10:$BG$72,AD$51,FALSE))</f>
        <v>9</v>
      </c>
      <c r="AE57" s="275">
        <f>IF($C57="","",VLOOKUP($C57,CTPit!$E$10:$BG$72,AE$51,FALSE))</f>
        <v>6</v>
      </c>
      <c r="AF57" s="276">
        <f>IF($C57="","",VLOOKUP($C57,CTPit!$E$10:$BG$72,AF$51,FALSE))</f>
        <v>5</v>
      </c>
      <c r="AG57" s="67">
        <f>IF($C57="","",VLOOKUP($C57,CTPit!$E$10:$BG$72,AG$51,FALSE))</f>
        <v>7.416666666666667</v>
      </c>
    </row>
    <row r="58" spans="1:33">
      <c r="A58" s="5">
        <v>6</v>
      </c>
      <c r="B58" s="39" t="s">
        <v>127</v>
      </c>
      <c r="C58" s="308" t="s">
        <v>489</v>
      </c>
      <c r="D58" s="40">
        <f>IF($C58="","",VLOOKUP($C58,CTPit!$E$10:$BG$214,D$1,FALSE))</f>
        <v>28</v>
      </c>
      <c r="E58" s="42" t="str">
        <f>IF($C58="","",VLOOKUP($C58,CTPit!$E$10:$BG$214,E$1+1,FALSE))</f>
        <v>R</v>
      </c>
      <c r="F58" s="41">
        <f t="shared" si="114"/>
        <v>0</v>
      </c>
      <c r="G58" s="41">
        <f t="shared" si="115"/>
        <v>0</v>
      </c>
      <c r="H58" s="41">
        <f t="shared" si="116"/>
        <v>1</v>
      </c>
      <c r="I58" s="100" t="str">
        <f>IF($C58="","",VLOOKUP($C58,CTPit!$E$10:$BG$72,I$51,FALSE))</f>
        <v>R</v>
      </c>
      <c r="J58" s="78">
        <f t="shared" si="117"/>
        <v>3</v>
      </c>
      <c r="K58" s="41">
        <f>IF($C58="","",VLOOKUP($C58,CTPit!$E$10:$BG$72,K$51,FALSE))</f>
        <v>8</v>
      </c>
      <c r="L58" s="41">
        <f>IF($C58="","",VLOOKUP($C58,CTPit!$E$10:$BG$72,L$51,FALSE))</f>
        <v>6</v>
      </c>
      <c r="M58" s="62">
        <f>IF($C58="","",VLOOKUP($C58,CTPit!$E$10:$BG$72,M$51,FALSE))</f>
        <v>5</v>
      </c>
      <c r="N58" s="41">
        <f>IF($C58="","",VLOOKUP($C58,CTPit!$E$10:$BG$72,N$51,FALSE))</f>
        <v>6</v>
      </c>
      <c r="O58" s="41">
        <f>IF($C58="","",VLOOKUP($C58,CTPit!$E$10:$BG$72,O$51,FALSE))</f>
        <v>10</v>
      </c>
      <c r="P58" s="41" t="str">
        <f>IF($C58="","",VLOOKUP($C58,CTPit!$E$10:$BG$72,P$51,FALSE))</f>
        <v>-</v>
      </c>
      <c r="Q58" s="41">
        <f>IF($C58="","",VLOOKUP($C58,CTPit!$E$10:$BG$72,Q$51,FALSE))</f>
        <v>6</v>
      </c>
      <c r="R58" s="41" t="str">
        <f>IF($C58="","",VLOOKUP($C58,CTPit!$E$10:$BG$72,R$51,FALSE))</f>
        <v>-</v>
      </c>
      <c r="S58" s="41" t="str">
        <f>IF($C58="","",VLOOKUP($C58,CTPit!$E$10:$BG$72,S$51,FALSE))</f>
        <v>-</v>
      </c>
      <c r="T58" s="41" t="str">
        <f>IF($C58="","",VLOOKUP($C58,CTPit!$E$10:$BG$72,T$51,FALSE))</f>
        <v>-</v>
      </c>
      <c r="U58" s="41" t="str">
        <f>IF($C58="","",VLOOKUP($C58,CTPit!$E$10:$BG$72,U$51,FALSE))</f>
        <v>-</v>
      </c>
      <c r="V58" s="41" t="str">
        <f>IF($C58="","",VLOOKUP($C58,CTPit!$E$10:$BG$72,V$51,FALSE))</f>
        <v>-</v>
      </c>
      <c r="W58" s="41" t="str">
        <f>IF($C58="","",VLOOKUP($C58,CTPit!$E$10:$BG$72,W$51,FALSE))</f>
        <v>-</v>
      </c>
      <c r="X58" s="41" t="str">
        <f>IF($C58="","",VLOOKUP($C58,CTPit!$E$10:$BG$72,X$51,FALSE))</f>
        <v>-</v>
      </c>
      <c r="Y58" s="62" t="str">
        <f>IF($C58="","",VLOOKUP($C58,CTPit!$E$10:$BG$72,Y$51,FALSE))</f>
        <v>-</v>
      </c>
      <c r="Z58" s="54" t="str">
        <f>IF($C58="","",VLOOKUP($C58,CTPit!$E$10:$BG$72,Z$51,FALSE))</f>
        <v>92-94 Mph</v>
      </c>
      <c r="AA58" s="41">
        <f>IF($C58="","",VLOOKUP($C58,CTPit!$E$10:$BG$72,AA$51,FALSE))</f>
        <v>6</v>
      </c>
      <c r="AB58" s="81">
        <f>IF($C58="","",VLOOKUP($C58,CTPit!$E$10:$BG$72,AB$51,FALSE))</f>
        <v>0.57999999999999996</v>
      </c>
      <c r="AC58" s="68">
        <f>IF($C58="","",VLOOKUP($C58,CTPit!$E$10:$BG$72,AC$51,FALSE))</f>
        <v>6.833333333333333</v>
      </c>
      <c r="AD58" s="273">
        <f>IF($C58="","",VLOOKUP($C58,CTPit!$E$10:$BG$72,AD$51,FALSE))</f>
        <v>8</v>
      </c>
      <c r="AE58" s="273">
        <f>IF($C58="","",VLOOKUP($C58,CTPit!$E$10:$BG$72,AE$51,FALSE))</f>
        <v>6</v>
      </c>
      <c r="AF58" s="274">
        <f>IF($C58="","",VLOOKUP($C58,CTPit!$E$10:$BG$72,AF$51,FALSE))</f>
        <v>5</v>
      </c>
      <c r="AG58" s="68">
        <f>IF($C58="","",VLOOKUP($C58,CTPit!$E$10:$BG$72,AG$51,FALSE))</f>
        <v>6.833333333333333</v>
      </c>
    </row>
    <row r="59" spans="1:33">
      <c r="Z59" s="5"/>
      <c r="AA59" s="5"/>
      <c r="AB59" s="5"/>
    </row>
    <row r="60" spans="1:33" ht="57">
      <c r="A60" s="25" t="s">
        <v>193</v>
      </c>
      <c r="B60" s="43" t="s">
        <v>128</v>
      </c>
      <c r="C60" s="44" t="s">
        <v>118</v>
      </c>
      <c r="D60" s="44" t="s">
        <v>91</v>
      </c>
      <c r="E60" s="44" t="s">
        <v>102</v>
      </c>
      <c r="F60" s="55" t="s">
        <v>190</v>
      </c>
      <c r="G60" s="47" t="s">
        <v>191</v>
      </c>
      <c r="H60" s="56" t="s">
        <v>192</v>
      </c>
      <c r="I60" s="76" t="s">
        <v>212</v>
      </c>
      <c r="J60" s="47" t="s">
        <v>189</v>
      </c>
      <c r="K60" s="79" t="s">
        <v>186</v>
      </c>
      <c r="L60" s="74" t="s">
        <v>187</v>
      </c>
      <c r="M60" s="75" t="s">
        <v>188</v>
      </c>
      <c r="N60" s="74" t="s">
        <v>60</v>
      </c>
      <c r="O60" s="74" t="s">
        <v>62</v>
      </c>
      <c r="P60" s="74" t="s">
        <v>64</v>
      </c>
      <c r="Q60" s="74" t="s">
        <v>66</v>
      </c>
      <c r="R60" s="74" t="s">
        <v>68</v>
      </c>
      <c r="S60" s="74" t="s">
        <v>108</v>
      </c>
      <c r="T60" s="74" t="s">
        <v>71</v>
      </c>
      <c r="U60" s="74" t="s">
        <v>73</v>
      </c>
      <c r="V60" s="74" t="s">
        <v>75</v>
      </c>
      <c r="W60" s="74" t="s">
        <v>77</v>
      </c>
      <c r="X60" s="74" t="s">
        <v>79</v>
      </c>
      <c r="Y60" s="75" t="s">
        <v>81</v>
      </c>
      <c r="Z60" s="79" t="s">
        <v>199</v>
      </c>
      <c r="AA60" s="74" t="s">
        <v>198</v>
      </c>
      <c r="AB60" s="75" t="s">
        <v>200</v>
      </c>
      <c r="AC60" s="288" t="s">
        <v>537</v>
      </c>
      <c r="AD60" s="74" t="s">
        <v>186</v>
      </c>
      <c r="AE60" s="74" t="s">
        <v>187</v>
      </c>
      <c r="AF60" s="75" t="s">
        <v>188</v>
      </c>
      <c r="AG60" s="288" t="s">
        <v>197</v>
      </c>
    </row>
    <row r="61" spans="1:33">
      <c r="A61">
        <v>1</v>
      </c>
      <c r="B61" s="36" t="s">
        <v>109</v>
      </c>
      <c r="C61" s="37" t="s">
        <v>16</v>
      </c>
      <c r="D61" s="37">
        <f>IF($C61="","",VLOOKUP($C61,CTPit!$E$10:$BG$214,D$1,FALSE))</f>
        <v>27</v>
      </c>
      <c r="E61" s="37" t="str">
        <f>IF($C61="","",VLOOKUP($C61,CTPit!$E$10:$BG$214,E$1+1,FALSE))</f>
        <v>R</v>
      </c>
      <c r="F61" s="53">
        <f>IF($C61="","",IF(AVERAGE(K61:M61)&gt;7,1,0))</f>
        <v>0</v>
      </c>
      <c r="G61" s="5">
        <f>IF($C61="","",IF(AVERAGE(K61:M61)&gt;6.5,1,0))</f>
        <v>1</v>
      </c>
      <c r="H61" s="3">
        <f>IF($C61="","",IF(AVERAGE(K61:M61)&gt;6,1,0))</f>
        <v>1</v>
      </c>
      <c r="I61" s="98" t="str">
        <f>IF($C61="","",VLOOKUP($C61,CTPit!$E$10:$BG$72,I$51,FALSE))</f>
        <v>R</v>
      </c>
      <c r="J61" s="5">
        <f>IF($C61="","",COUNT(N61:Y61))</f>
        <v>2</v>
      </c>
      <c r="K61" s="53">
        <f>IF($C61="","",VLOOKUP($C61,CTPit!$E$10:$BG$72,K$51,FALSE))</f>
        <v>8</v>
      </c>
      <c r="L61" s="5">
        <f>IF($C61="","",VLOOKUP($C61,CTPit!$E$10:$BG$72,L$51,FALSE))</f>
        <v>6</v>
      </c>
      <c r="M61" s="3">
        <f>IF($C61="","",VLOOKUP($C61,CTPit!$E$10:$BG$72,M$51,FALSE))</f>
        <v>6</v>
      </c>
      <c r="N61" s="5">
        <f>IF($C61="","",VLOOKUP($C61,CTPit!$E$10:$BG$72,N$51,FALSE))</f>
        <v>8</v>
      </c>
      <c r="O61" s="5" t="str">
        <f>IF($C61="","",VLOOKUP($C61,CTPit!$E$10:$BG$72,O$51,FALSE))</f>
        <v>-</v>
      </c>
      <c r="P61" s="5" t="str">
        <f>IF($C61="","",VLOOKUP($C61,CTPit!$E$10:$BG$72,P$51,FALSE))</f>
        <v>-</v>
      </c>
      <c r="Q61" s="5">
        <f>IF($C61="","",VLOOKUP($C61,CTPit!$E$10:$BG$72,Q$51,FALSE))</f>
        <v>8</v>
      </c>
      <c r="R61" s="5" t="str">
        <f>IF($C61="","",VLOOKUP($C61,CTPit!$E$10:$BG$72,R$51,FALSE))</f>
        <v>-</v>
      </c>
      <c r="S61" s="5" t="str">
        <f>IF($C61="","",VLOOKUP($C61,CTPit!$E$10:$BG$72,S$51,FALSE))</f>
        <v>-</v>
      </c>
      <c r="T61" s="5" t="str">
        <f>IF($C61="","",VLOOKUP($C61,CTPit!$E$10:$BG$72,T$51,FALSE))</f>
        <v>-</v>
      </c>
      <c r="U61" s="5" t="str">
        <f>IF($C61="","",VLOOKUP($C61,CTPit!$E$10:$BG$72,U$51,FALSE))</f>
        <v>-</v>
      </c>
      <c r="V61" s="5" t="str">
        <f>IF($C61="","",VLOOKUP($C61,CTPit!$E$10:$BG$72,V$51,FALSE))</f>
        <v>-</v>
      </c>
      <c r="W61" s="5" t="str">
        <f>IF($C61="","",VLOOKUP($C61,CTPit!$E$10:$BG$72,W$51,FALSE))</f>
        <v>-</v>
      </c>
      <c r="X61" s="5" t="str">
        <f>IF($C61="","",VLOOKUP($C61,CTPit!$E$10:$BG$72,X$51,FALSE))</f>
        <v>-</v>
      </c>
      <c r="Y61" s="3" t="str">
        <f>IF($C61="","",VLOOKUP($C61,CTPit!$E$10:$BG$72,Y$51,FALSE))</f>
        <v>-</v>
      </c>
      <c r="Z61" s="53" t="str">
        <f>IF($C61="","",VLOOKUP($C61,CTPit!$E$10:$BG$72,Z$51,FALSE))</f>
        <v>95-97 Mph</v>
      </c>
      <c r="AA61" s="5">
        <f>IF($C61="","",VLOOKUP($C61,CTPit!$E$10:$BG$72,AA$51,FALSE))</f>
        <v>3</v>
      </c>
      <c r="AB61" s="80">
        <f>IF($C61="","",VLOOKUP($C61,CTPit!$E$10:$BG$72,AB$51,FALSE))</f>
        <v>0.37</v>
      </c>
      <c r="AC61" s="289">
        <f>IF($C61="","",VLOOKUP($C61,CTPit!$E$10:$BG$72,AC$51,FALSE))</f>
        <v>6.916666666666667</v>
      </c>
      <c r="AD61" s="275">
        <f>IF($C61="","",VLOOKUP($C61,CTPit!$E$10:$BG$72,AD$51,FALSE))</f>
        <v>8</v>
      </c>
      <c r="AE61" s="275">
        <f>IF($C61="","",VLOOKUP($C61,CTPit!$E$10:$BG$72,AE$51,FALSE))</f>
        <v>6</v>
      </c>
      <c r="AF61" s="276">
        <f>IF($C61="","",VLOOKUP($C61,CTPit!$E$10:$BG$72,AF$51,FALSE))</f>
        <v>6</v>
      </c>
      <c r="AG61" s="289">
        <f>IF($C61="","",VLOOKUP($C61,CTPit!$E$10:$BG$72,AG$51,FALSE))</f>
        <v>6.916666666666667</v>
      </c>
    </row>
    <row r="62" spans="1:33">
      <c r="A62">
        <v>2</v>
      </c>
      <c r="B62" s="39" t="s">
        <v>129</v>
      </c>
      <c r="C62" s="40" t="s">
        <v>49</v>
      </c>
      <c r="D62" s="40">
        <f>IF($C62="","",VLOOKUP($C62,CTPit!$E$10:$BG$214,D$1,FALSE))</f>
        <v>29</v>
      </c>
      <c r="E62" s="40" t="str">
        <f>IF($C62="","",VLOOKUP($C62,CTPit!$E$10:$BG$214,E$1+1,FALSE))</f>
        <v>L</v>
      </c>
      <c r="F62" s="54">
        <f>IF($C62="","",IF(AVERAGE(K62:M62)&gt;7,1,0))</f>
        <v>0</v>
      </c>
      <c r="G62" s="41">
        <f>IF($C62="","",IF(AVERAGE(K62:M62)&gt;6.5,1,0))</f>
        <v>0</v>
      </c>
      <c r="H62" s="62">
        <f>IF($C62="","",IF(AVERAGE(K62:M62)&gt;6,1,0))</f>
        <v>0</v>
      </c>
      <c r="I62" s="100" t="str">
        <f>IF($C62="","",VLOOKUP($C62,CTPit!$E$10:$BG$72,I$51,FALSE))</f>
        <v>L</v>
      </c>
      <c r="J62" s="41">
        <f>IF($C62="","",COUNT(N62:Y62))</f>
        <v>3</v>
      </c>
      <c r="K62" s="54">
        <f>IF($C62="","",VLOOKUP($C62,CTPit!$E$10:$BG$72,K$51,FALSE))</f>
        <v>9</v>
      </c>
      <c r="L62" s="41">
        <f>IF($C62="","",VLOOKUP($C62,CTPit!$E$10:$BG$72,L$51,FALSE))</f>
        <v>5</v>
      </c>
      <c r="M62" s="62">
        <f>IF($C62="","",VLOOKUP($C62,CTPit!$E$10:$BG$72,M$51,FALSE))</f>
        <v>4</v>
      </c>
      <c r="N62" s="41">
        <f>IF($C62="","",VLOOKUP($C62,CTPit!$E$10:$BG$72,N$51,FALSE))</f>
        <v>9</v>
      </c>
      <c r="O62" s="41">
        <f>IF($C62="","",VLOOKUP($C62,CTPit!$E$10:$BG$72,O$51,FALSE))</f>
        <v>7</v>
      </c>
      <c r="P62" s="41" t="str">
        <f>IF($C62="","",VLOOKUP($C62,CTPit!$E$10:$BG$72,P$51,FALSE))</f>
        <v>-</v>
      </c>
      <c r="Q62" s="41" t="str">
        <f>IF($C62="","",VLOOKUP($C62,CTPit!$E$10:$BG$72,Q$51,FALSE))</f>
        <v>-</v>
      </c>
      <c r="R62" s="41" t="str">
        <f>IF($C62="","",VLOOKUP($C62,CTPit!$E$10:$BG$72,R$51,FALSE))</f>
        <v>-</v>
      </c>
      <c r="S62" s="41" t="str">
        <f>IF($C62="","",VLOOKUP($C62,CTPit!$E$10:$BG$72,S$51,FALSE))</f>
        <v>-</v>
      </c>
      <c r="T62" s="41" t="str">
        <f>IF($C62="","",VLOOKUP($C62,CTPit!$E$10:$BG$72,T$51,FALSE))</f>
        <v>-</v>
      </c>
      <c r="U62" s="41" t="str">
        <f>IF($C62="","",VLOOKUP($C62,CTPit!$E$10:$BG$72,U$51,FALSE))</f>
        <v>-</v>
      </c>
      <c r="V62" s="41" t="str">
        <f>IF($C62="","",VLOOKUP($C62,CTPit!$E$10:$BG$72,V$51,FALSE))</f>
        <v>-</v>
      </c>
      <c r="W62" s="41">
        <f>IF($C62="","",VLOOKUP($C62,CTPit!$E$10:$BG$72,W$51,FALSE))</f>
        <v>4</v>
      </c>
      <c r="X62" s="41" t="str">
        <f>IF($C62="","",VLOOKUP($C62,CTPit!$E$10:$BG$72,X$51,FALSE))</f>
        <v>-</v>
      </c>
      <c r="Y62" s="62" t="str">
        <f>IF($C62="","",VLOOKUP($C62,CTPit!$E$10:$BG$72,Y$51,FALSE))</f>
        <v>-</v>
      </c>
      <c r="Z62" s="54" t="str">
        <f>IF($C62="","",VLOOKUP($C62,CTPit!$E$10:$BG$72,Z$51,FALSE))</f>
        <v>97-99 Mph</v>
      </c>
      <c r="AA62" s="41">
        <f>IF($C62="","",VLOOKUP($C62,CTPit!$E$10:$BG$72,AA$51,FALSE))</f>
        <v>2</v>
      </c>
      <c r="AB62" s="81">
        <f>IF($C62="","",VLOOKUP($C62,CTPit!$E$10:$BG$72,AB$51,FALSE))</f>
        <v>0.53</v>
      </c>
      <c r="AC62" s="68">
        <f>IF($C62="","",VLOOKUP($C62,CTPit!$E$10:$BG$72,AC$51,FALSE))</f>
        <v>6.25</v>
      </c>
      <c r="AD62" s="273">
        <f>IF($C62="","",VLOOKUP($C62,CTPit!$E$10:$BG$72,AD$51,FALSE))</f>
        <v>9</v>
      </c>
      <c r="AE62" s="273">
        <f>IF($C62="","",VLOOKUP($C62,CTPit!$E$10:$BG$72,AE$51,FALSE))</f>
        <v>5</v>
      </c>
      <c r="AF62" s="274">
        <f>IF($C62="","",VLOOKUP($C62,CTPit!$E$10:$BG$72,AF$51,FALSE))</f>
        <v>4</v>
      </c>
      <c r="AG62" s="68">
        <f>IF($C62="","",VLOOKUP($C62,CTPit!$E$10:$BG$72,AG$51,FALSE))</f>
        <v>6.25</v>
      </c>
    </row>
    <row r="63" spans="1:33">
      <c r="Z63" s="5"/>
      <c r="AA63" s="5"/>
      <c r="AB63" s="5"/>
    </row>
    <row r="64" spans="1:33" ht="57">
      <c r="A64" s="25" t="s">
        <v>193</v>
      </c>
      <c r="B64" s="43" t="s">
        <v>130</v>
      </c>
      <c r="C64" s="44" t="s">
        <v>118</v>
      </c>
      <c r="D64" s="44" t="s">
        <v>91</v>
      </c>
      <c r="E64" s="44" t="s">
        <v>102</v>
      </c>
      <c r="F64" s="55" t="s">
        <v>190</v>
      </c>
      <c r="G64" s="47" t="s">
        <v>191</v>
      </c>
      <c r="H64" s="56" t="s">
        <v>192</v>
      </c>
      <c r="I64" s="76" t="s">
        <v>212</v>
      </c>
      <c r="J64" s="47" t="s">
        <v>189</v>
      </c>
      <c r="K64" s="79" t="s">
        <v>186</v>
      </c>
      <c r="L64" s="74" t="s">
        <v>187</v>
      </c>
      <c r="M64" s="75" t="s">
        <v>188</v>
      </c>
      <c r="N64" s="74" t="s">
        <v>60</v>
      </c>
      <c r="O64" s="74" t="s">
        <v>62</v>
      </c>
      <c r="P64" s="74" t="s">
        <v>64</v>
      </c>
      <c r="Q64" s="74" t="s">
        <v>66</v>
      </c>
      <c r="R64" s="74" t="s">
        <v>68</v>
      </c>
      <c r="S64" s="74" t="s">
        <v>108</v>
      </c>
      <c r="T64" s="74" t="s">
        <v>71</v>
      </c>
      <c r="U64" s="74" t="s">
        <v>73</v>
      </c>
      <c r="V64" s="74" t="s">
        <v>75</v>
      </c>
      <c r="W64" s="74" t="s">
        <v>77</v>
      </c>
      <c r="X64" s="74" t="s">
        <v>79</v>
      </c>
      <c r="Y64" s="75" t="s">
        <v>81</v>
      </c>
      <c r="Z64" s="79" t="s">
        <v>199</v>
      </c>
      <c r="AA64" s="74" t="s">
        <v>198</v>
      </c>
      <c r="AB64" s="75" t="s">
        <v>200</v>
      </c>
      <c r="AC64" s="288" t="s">
        <v>537</v>
      </c>
      <c r="AD64" s="74" t="s">
        <v>186</v>
      </c>
      <c r="AE64" s="74" t="s">
        <v>187</v>
      </c>
      <c r="AF64" s="75" t="s">
        <v>188</v>
      </c>
      <c r="AG64" s="288" t="s">
        <v>197</v>
      </c>
    </row>
    <row r="65" spans="1:33">
      <c r="A65">
        <v>1</v>
      </c>
      <c r="B65" s="36" t="s">
        <v>131</v>
      </c>
      <c r="C65" s="37" t="s">
        <v>17</v>
      </c>
      <c r="D65" s="37">
        <f>IF($C65="","",VLOOKUP($C65,CTPit!$E$10:$BG$214,D$1,FALSE))</f>
        <v>25</v>
      </c>
      <c r="E65" s="37" t="str">
        <f>IF($C65="","",VLOOKUP($C65,CTPit!$E$10:$BG$214,E$1+1,FALSE))</f>
        <v>L</v>
      </c>
      <c r="F65" s="53">
        <f t="shared" ref="F65:F70" si="118">IF($C65="","",IF(AVERAGE(K65:M65)&gt;7,1,0))</f>
        <v>0</v>
      </c>
      <c r="G65" s="5">
        <f t="shared" ref="G65:G70" si="119">IF($C65="","",IF(AVERAGE(K65:M65)&gt;6.5,1,0))</f>
        <v>1</v>
      </c>
      <c r="H65" s="3">
        <f t="shared" ref="H65:H70" si="120">IF($C65="","",IF(AVERAGE(K65:M65)&gt;6,1,0))</f>
        <v>1</v>
      </c>
      <c r="I65" s="99" t="str">
        <f>IF($C65="","",VLOOKUP($C65,CTPit!$E$10:$BG$72,I$51,FALSE))</f>
        <v>L</v>
      </c>
      <c r="J65" s="5">
        <f t="shared" ref="J65:J70" si="121">IF($C65="","",COUNT(N65:Y65))</f>
        <v>3</v>
      </c>
      <c r="K65" s="53">
        <f>IF($C65="","",VLOOKUP($C65,CTPit!$E$10:$BG$72,K$51,FALSE))</f>
        <v>7</v>
      </c>
      <c r="L65" s="5">
        <f>IF($C65="","",VLOOKUP($C65,CTPit!$E$10:$BG$72,L$51,FALSE))</f>
        <v>7</v>
      </c>
      <c r="M65" s="3">
        <f>IF($C65="","",VLOOKUP($C65,CTPit!$E$10:$BG$72,M$51,FALSE))</f>
        <v>6</v>
      </c>
      <c r="N65" s="5">
        <f>IF($C65="","",VLOOKUP($C65,CTPit!$E$10:$BG$72,N$51,FALSE))</f>
        <v>7</v>
      </c>
      <c r="O65" s="5">
        <f>IF($C65="","",VLOOKUP($C65,CTPit!$E$10:$BG$72,O$51,FALSE))</f>
        <v>3</v>
      </c>
      <c r="P65" s="5" t="str">
        <f>IF($C65="","",VLOOKUP($C65,CTPit!$E$10:$BG$72,P$51,FALSE))</f>
        <v>-</v>
      </c>
      <c r="Q65" s="5" t="str">
        <f>IF($C65="","",VLOOKUP($C65,CTPit!$E$10:$BG$72,Q$51,FALSE))</f>
        <v>-</v>
      </c>
      <c r="R65" s="5" t="str">
        <f>IF($C65="","",VLOOKUP($C65,CTPit!$E$10:$BG$72,R$51,FALSE))</f>
        <v>-</v>
      </c>
      <c r="S65" s="5">
        <f>IF($C65="","",VLOOKUP($C65,CTPit!$E$10:$BG$72,S$51,FALSE))</f>
        <v>7</v>
      </c>
      <c r="T65" s="5" t="str">
        <f>IF($C65="","",VLOOKUP($C65,CTPit!$E$10:$BG$72,T$51,FALSE))</f>
        <v>-</v>
      </c>
      <c r="U65" s="5" t="str">
        <f>IF($C65="","",VLOOKUP($C65,CTPit!$E$10:$BG$72,U$51,FALSE))</f>
        <v>-</v>
      </c>
      <c r="V65" s="5" t="str">
        <f>IF($C65="","",VLOOKUP($C65,CTPit!$E$10:$BG$72,V$51,FALSE))</f>
        <v>-</v>
      </c>
      <c r="W65" s="5" t="str">
        <f>IF($C65="","",VLOOKUP($C65,CTPit!$E$10:$BG$72,W$51,FALSE))</f>
        <v>-</v>
      </c>
      <c r="X65" s="5" t="str">
        <f>IF($C65="","",VLOOKUP($C65,CTPit!$E$10:$BG$72,X$51,FALSE))</f>
        <v>-</v>
      </c>
      <c r="Y65" s="3" t="str">
        <f>IF($C65="","",VLOOKUP($C65,CTPit!$E$10:$BG$72,Y$51,FALSE))</f>
        <v>-</v>
      </c>
      <c r="Z65" s="53" t="str">
        <f>IF($C65="","",VLOOKUP($C65,CTPit!$E$10:$BG$72,Z$51,FALSE))</f>
        <v>93-95 Mph</v>
      </c>
      <c r="AA65" s="5">
        <f>IF($C65="","",VLOOKUP($C65,CTPit!$E$10:$BG$72,AA$51,FALSE))</f>
        <v>1</v>
      </c>
      <c r="AB65" s="80">
        <f>IF($C65="","",VLOOKUP($C65,CTPit!$E$10:$BG$72,AB$51,FALSE))</f>
        <v>0.49</v>
      </c>
      <c r="AC65" s="289">
        <f>IF($C65="","",VLOOKUP($C65,CTPit!$E$10:$BG$72,AC$51,FALSE))</f>
        <v>6.916666666666667</v>
      </c>
      <c r="AD65" s="275">
        <f>IF($C65="","",VLOOKUP($C65,CTPit!$E$10:$BG$72,AD$51,FALSE))</f>
        <v>7</v>
      </c>
      <c r="AE65" s="275">
        <f>IF($C65="","",VLOOKUP($C65,CTPit!$E$10:$BG$72,AE$51,FALSE))</f>
        <v>7</v>
      </c>
      <c r="AF65" s="276">
        <f>IF($C65="","",VLOOKUP($C65,CTPit!$E$10:$BG$72,AF$51,FALSE))</f>
        <v>7</v>
      </c>
      <c r="AG65" s="289">
        <f>IF($C65="","",VLOOKUP($C65,CTPit!$E$10:$BG$72,AG$51,FALSE))</f>
        <v>7.25</v>
      </c>
    </row>
    <row r="66" spans="1:33">
      <c r="A66">
        <v>2</v>
      </c>
      <c r="B66" s="36" t="s">
        <v>132</v>
      </c>
      <c r="C66" s="65" t="s">
        <v>431</v>
      </c>
      <c r="D66" s="37">
        <f>IF($C66="","",VLOOKUP($C66,CTPit!$E$10:$BG$214,D$1,FALSE))</f>
        <v>27</v>
      </c>
      <c r="E66" s="37" t="str">
        <f>IF($C66="","",VLOOKUP($C66,CTPit!$E$10:$BG$214,E$1+1,FALSE))</f>
        <v>R</v>
      </c>
      <c r="F66" s="53">
        <f t="shared" si="118"/>
        <v>0</v>
      </c>
      <c r="G66" s="5">
        <f t="shared" si="119"/>
        <v>0</v>
      </c>
      <c r="H66" s="3">
        <f t="shared" si="120"/>
        <v>1</v>
      </c>
      <c r="I66" s="99" t="str">
        <f>IF($C66="","",VLOOKUP($C66,CTPit!$E$10:$BG$72,I$51,FALSE))</f>
        <v>R</v>
      </c>
      <c r="J66" s="5">
        <f t="shared" si="121"/>
        <v>2</v>
      </c>
      <c r="K66" s="53">
        <f>IF($C66="","",VLOOKUP($C66,CTPit!$E$10:$BG$72,K$51,FALSE))</f>
        <v>4</v>
      </c>
      <c r="L66" s="5">
        <f>IF($C66="","",VLOOKUP($C66,CTPit!$E$10:$BG$72,L$51,FALSE))</f>
        <v>8</v>
      </c>
      <c r="M66" s="3">
        <f>IF($C66="","",VLOOKUP($C66,CTPit!$E$10:$BG$72,M$51,FALSE))</f>
        <v>7</v>
      </c>
      <c r="N66" s="5">
        <f>IF($C66="","",VLOOKUP($C66,CTPit!$E$10:$BG$72,N$51,FALSE))</f>
        <v>5</v>
      </c>
      <c r="O66" s="5" t="str">
        <f>IF($C66="","",VLOOKUP($C66,CTPit!$E$10:$BG$72,O$51,FALSE))</f>
        <v>-</v>
      </c>
      <c r="P66" s="5" t="str">
        <f>IF($C66="","",VLOOKUP($C66,CTPit!$E$10:$BG$72,P$51,FALSE))</f>
        <v>-</v>
      </c>
      <c r="Q66" s="5">
        <f>IF($C66="","",VLOOKUP($C66,CTPit!$E$10:$BG$72,Q$51,FALSE))</f>
        <v>4</v>
      </c>
      <c r="R66" s="5" t="str">
        <f>IF($C66="","",VLOOKUP($C66,CTPit!$E$10:$BG$72,R$51,FALSE))</f>
        <v>-</v>
      </c>
      <c r="S66" s="5" t="str">
        <f>IF($C66="","",VLOOKUP($C66,CTPit!$E$10:$BG$72,S$51,FALSE))</f>
        <v>-</v>
      </c>
      <c r="T66" s="5" t="str">
        <f>IF($C66="","",VLOOKUP($C66,CTPit!$E$10:$BG$72,T$51,FALSE))</f>
        <v>-</v>
      </c>
      <c r="U66" s="5" t="str">
        <f>IF($C66="","",VLOOKUP($C66,CTPit!$E$10:$BG$72,U$51,FALSE))</f>
        <v>-</v>
      </c>
      <c r="V66" s="5" t="str">
        <f>IF($C66="","",VLOOKUP($C66,CTPit!$E$10:$BG$72,V$51,FALSE))</f>
        <v>-</v>
      </c>
      <c r="W66" s="5" t="str">
        <f>IF($C66="","",VLOOKUP($C66,CTPit!$E$10:$BG$72,W$51,FALSE))</f>
        <v>-</v>
      </c>
      <c r="X66" s="5" t="str">
        <f>IF($C66="","",VLOOKUP($C66,CTPit!$E$10:$BG$72,X$51,FALSE))</f>
        <v>-</v>
      </c>
      <c r="Y66" s="3" t="str">
        <f>IF($C66="","",VLOOKUP($C66,CTPit!$E$10:$BG$72,Y$51,FALSE))</f>
        <v>-</v>
      </c>
      <c r="Z66" s="53" t="str">
        <f>IF($C66="","",VLOOKUP($C66,CTPit!$E$10:$BG$72,Z$51,FALSE))</f>
        <v>90-92 Mph</v>
      </c>
      <c r="AA66" s="5">
        <f>IF($C66="","",VLOOKUP($C66,CTPit!$E$10:$BG$72,AA$51,FALSE))</f>
        <v>3</v>
      </c>
      <c r="AB66" s="80">
        <f>IF($C66="","",VLOOKUP($C66,CTPit!$E$10:$BG$72,AB$51,FALSE))</f>
        <v>0.7</v>
      </c>
      <c r="AC66" s="67">
        <f>IF($C66="","",VLOOKUP($C66,CTPit!$E$10:$BG$72,AC$51,FALSE))</f>
        <v>6.583333333333333</v>
      </c>
      <c r="AD66" s="275">
        <f>IF($C66="","",VLOOKUP($C66,CTPit!$E$10:$BG$72,AD$51,FALSE))</f>
        <v>4</v>
      </c>
      <c r="AE66" s="275">
        <f>IF($C66="","",VLOOKUP($C66,CTPit!$E$10:$BG$72,AE$51,FALSE))</f>
        <v>8</v>
      </c>
      <c r="AF66" s="276">
        <f>IF($C66="","",VLOOKUP($C66,CTPit!$E$10:$BG$72,AF$51,FALSE))</f>
        <v>7</v>
      </c>
      <c r="AG66" s="67">
        <f>IF($C66="","",VLOOKUP($C66,CTPit!$E$10:$BG$72,AG$51,FALSE))</f>
        <v>6.583333333333333</v>
      </c>
    </row>
    <row r="67" spans="1:33">
      <c r="A67">
        <v>3</v>
      </c>
      <c r="B67" s="36" t="s">
        <v>19</v>
      </c>
      <c r="C67" s="65" t="s">
        <v>520</v>
      </c>
      <c r="D67" s="37">
        <f>IF($C67="","",VLOOKUP($C67,CTPit!$E$10:$BG$214,D$1,FALSE))</f>
        <v>29</v>
      </c>
      <c r="E67" s="37" t="str">
        <f>IF($C67="","",VLOOKUP($C67,CTPit!$E$10:$BG$214,E$1+1,FALSE))</f>
        <v>R</v>
      </c>
      <c r="F67" s="53">
        <f t="shared" si="118"/>
        <v>0</v>
      </c>
      <c r="G67" s="5">
        <f t="shared" si="119"/>
        <v>1</v>
      </c>
      <c r="H67" s="3">
        <f t="shared" si="120"/>
        <v>1</v>
      </c>
      <c r="I67" s="99" t="str">
        <f>IF($C67="","",VLOOKUP($C67,CTPit!$E$10:$BG$72,I$51,FALSE))</f>
        <v>R</v>
      </c>
      <c r="J67" s="5">
        <f t="shared" si="121"/>
        <v>3</v>
      </c>
      <c r="K67" s="53">
        <f>IF($C67="","",VLOOKUP($C67,CTPit!$E$10:$BG$72,K$51,FALSE))</f>
        <v>5</v>
      </c>
      <c r="L67" s="5">
        <f>IF($C67="","",VLOOKUP($C67,CTPit!$E$10:$BG$72,L$51,FALSE))</f>
        <v>8</v>
      </c>
      <c r="M67" s="3">
        <f>IF($C67="","",VLOOKUP($C67,CTPit!$E$10:$BG$72,M$51,FALSE))</f>
        <v>7</v>
      </c>
      <c r="N67" s="5">
        <f>IF($C67="","",VLOOKUP($C67,CTPit!$E$10:$BG$72,N$51,FALSE))</f>
        <v>4</v>
      </c>
      <c r="O67" s="5" t="str">
        <f>IF($C67="","",VLOOKUP($C67,CTPit!$E$10:$BG$72,O$51,FALSE))</f>
        <v>-</v>
      </c>
      <c r="P67" s="5" t="str">
        <f>IF($C67="","",VLOOKUP($C67,CTPit!$E$10:$BG$72,P$51,FALSE))</f>
        <v>-</v>
      </c>
      <c r="Q67" s="5">
        <f>IF($C67="","",VLOOKUP($C67,CTPit!$E$10:$BG$72,Q$51,FALSE))</f>
        <v>5</v>
      </c>
      <c r="R67" s="5" t="str">
        <f>IF($C67="","",VLOOKUP($C67,CTPit!$E$10:$BG$72,R$51,FALSE))</f>
        <v>-</v>
      </c>
      <c r="S67" s="5">
        <f>IF($C67="","",VLOOKUP($C67,CTPit!$E$10:$BG$72,S$51,FALSE))</f>
        <v>5</v>
      </c>
      <c r="T67" s="5" t="str">
        <f>IF($C67="","",VLOOKUP($C67,CTPit!$E$10:$BG$72,T$51,FALSE))</f>
        <v>-</v>
      </c>
      <c r="U67" s="5" t="str">
        <f>IF($C67="","",VLOOKUP($C67,CTPit!$E$10:$BG$72,U$51,FALSE))</f>
        <v>-</v>
      </c>
      <c r="V67" s="5" t="str">
        <f>IF($C67="","",VLOOKUP($C67,CTPit!$E$10:$BG$72,V$51,FALSE))</f>
        <v>-</v>
      </c>
      <c r="W67" s="5" t="str">
        <f>IF($C67="","",VLOOKUP($C67,CTPit!$E$10:$BG$72,W$51,FALSE))</f>
        <v>-</v>
      </c>
      <c r="X67" s="5" t="str">
        <f>IF($C67="","",VLOOKUP($C67,CTPit!$E$10:$BG$72,X$51,FALSE))</f>
        <v>-</v>
      </c>
      <c r="Y67" s="3" t="str">
        <f>IF($C67="","",VLOOKUP($C67,CTPit!$E$10:$BG$72,Y$51,FALSE))</f>
        <v>-</v>
      </c>
      <c r="Z67" s="53" t="str">
        <f>IF($C67="","",VLOOKUP($C67,CTPit!$E$10:$BG$72,Z$51,FALSE))</f>
        <v>87-89 Mph</v>
      </c>
      <c r="AA67" s="5">
        <f>IF($C67="","",VLOOKUP($C67,CTPit!$E$10:$BG$72,AA$51,FALSE))</f>
        <v>7</v>
      </c>
      <c r="AB67" s="80">
        <f>IF($C67="","",VLOOKUP($C67,CTPit!$E$10:$BG$72,AB$51,FALSE))</f>
        <v>0.59</v>
      </c>
      <c r="AC67" s="67">
        <f>IF($C67="","",VLOOKUP($C67,CTPit!$E$10:$BG$72,AC$51,FALSE))</f>
        <v>6.916666666666667</v>
      </c>
      <c r="AD67" s="275">
        <f>IF($C67="","",VLOOKUP($C67,CTPit!$E$10:$BG$72,AD$51,FALSE))</f>
        <v>5</v>
      </c>
      <c r="AE67" s="275">
        <f>IF($C67="","",VLOOKUP($C67,CTPit!$E$10:$BG$72,AE$51,FALSE))</f>
        <v>8</v>
      </c>
      <c r="AF67" s="276">
        <f>IF($C67="","",VLOOKUP($C67,CTPit!$E$10:$BG$72,AF$51,FALSE))</f>
        <v>7</v>
      </c>
      <c r="AG67" s="67">
        <f>IF($C67="","",VLOOKUP($C67,CTPit!$E$10:$BG$72,AG$51,FALSE))</f>
        <v>6.916666666666667</v>
      </c>
    </row>
    <row r="68" spans="1:33">
      <c r="A68">
        <v>4</v>
      </c>
      <c r="B68" s="36" t="s">
        <v>19</v>
      </c>
      <c r="C68" s="65" t="s">
        <v>414</v>
      </c>
      <c r="D68" s="37">
        <f>IF($C68="","",VLOOKUP($C68,CTPit!$E$10:$BG$214,D$1,FALSE))</f>
        <v>23</v>
      </c>
      <c r="E68" s="37" t="str">
        <f>IF($C68="","",VLOOKUP($C68,CTPit!$E$10:$BG$214,E$1+1,FALSE))</f>
        <v>L</v>
      </c>
      <c r="F68" s="53">
        <f t="shared" si="118"/>
        <v>0</v>
      </c>
      <c r="G68" s="5">
        <f t="shared" si="119"/>
        <v>0</v>
      </c>
      <c r="H68" s="3">
        <f t="shared" si="120"/>
        <v>0</v>
      </c>
      <c r="I68" s="99" t="str">
        <f>IF($C68="","",VLOOKUP($C68,CTPit!$E$10:$BG$72,I$51,FALSE))</f>
        <v>L</v>
      </c>
      <c r="J68" s="5">
        <f t="shared" si="121"/>
        <v>3</v>
      </c>
      <c r="K68" s="53">
        <f>IF($C68="","",VLOOKUP($C68,CTPit!$E$10:$BG$72,K$51,FALSE))</f>
        <v>9</v>
      </c>
      <c r="L68" s="5">
        <f>IF($C68="","",VLOOKUP($C68,CTPit!$E$10:$BG$72,L$51,FALSE))</f>
        <v>6</v>
      </c>
      <c r="M68" s="3">
        <f>IF($C68="","",VLOOKUP($C68,CTPit!$E$10:$BG$72,M$51,FALSE))</f>
        <v>2</v>
      </c>
      <c r="N68" s="5">
        <f>IF($C68="","",VLOOKUP($C68,CTPit!$E$10:$BG$72,N$51,FALSE))</f>
        <v>9</v>
      </c>
      <c r="O68" s="5">
        <f>IF($C68="","",VLOOKUP($C68,CTPit!$E$10:$BG$72,O$51,FALSE))</f>
        <v>4</v>
      </c>
      <c r="P68" s="5" t="str">
        <f>IF($C68="","",VLOOKUP($C68,CTPit!$E$10:$BG$72,P$51,FALSE))</f>
        <v>-</v>
      </c>
      <c r="Q68" s="5">
        <f>IF($C68="","",VLOOKUP($C68,CTPit!$E$10:$BG$72,Q$51,FALSE))</f>
        <v>6</v>
      </c>
      <c r="R68" s="5" t="str">
        <f>IF($C68="","",VLOOKUP($C68,CTPit!$E$10:$BG$72,R$51,FALSE))</f>
        <v>-</v>
      </c>
      <c r="S68" s="5" t="str">
        <f>IF($C68="","",VLOOKUP($C68,CTPit!$E$10:$BG$72,S$51,FALSE))</f>
        <v>-</v>
      </c>
      <c r="T68" s="5" t="str">
        <f>IF($C68="","",VLOOKUP($C68,CTPit!$E$10:$BG$72,T$51,FALSE))</f>
        <v>-</v>
      </c>
      <c r="U68" s="5" t="str">
        <f>IF($C68="","",VLOOKUP($C68,CTPit!$E$10:$BG$72,U$51,FALSE))</f>
        <v>-</v>
      </c>
      <c r="V68" s="5" t="str">
        <f>IF($C68="","",VLOOKUP($C68,CTPit!$E$10:$BG$72,V$51,FALSE))</f>
        <v>-</v>
      </c>
      <c r="W68" s="5" t="str">
        <f>IF($C68="","",VLOOKUP($C68,CTPit!$E$10:$BG$72,W$51,FALSE))</f>
        <v>-</v>
      </c>
      <c r="X68" s="5" t="str">
        <f>IF($C68="","",VLOOKUP($C68,CTPit!$E$10:$BG$72,X$51,FALSE))</f>
        <v>-</v>
      </c>
      <c r="Y68" s="3" t="str">
        <f>IF($C68="","",VLOOKUP($C68,CTPit!$E$10:$BG$72,Y$51,FALSE))</f>
        <v>-</v>
      </c>
      <c r="Z68" s="53" t="str">
        <f>IF($C68="","",VLOOKUP($C68,CTPit!$E$10:$BG$72,Z$51,FALSE))</f>
        <v>99-101 Mph</v>
      </c>
      <c r="AA68" s="5">
        <f>IF($C68="","",VLOOKUP($C68,CTPit!$E$10:$BG$72,AA$51,FALSE))</f>
        <v>9</v>
      </c>
      <c r="AB68" s="80">
        <f>IF($C68="","",VLOOKUP($C68,CTPit!$E$10:$BG$72,AB$51,FALSE))</f>
        <v>0.6</v>
      </c>
      <c r="AC68" s="67">
        <f>IF($C68="","",VLOOKUP($C68,CTPit!$E$10:$BG$72,AC$51,FALSE))</f>
        <v>6.166666666666667</v>
      </c>
      <c r="AD68" s="275">
        <f>IF($C68="","",VLOOKUP($C68,CTPit!$E$10:$BG$72,AD$51,FALSE))</f>
        <v>9</v>
      </c>
      <c r="AE68" s="275">
        <f>IF($C68="","",VLOOKUP($C68,CTPit!$E$10:$BG$72,AE$51,FALSE))</f>
        <v>6</v>
      </c>
      <c r="AF68" s="276">
        <f>IF($C68="","",VLOOKUP($C68,CTPit!$E$10:$BG$72,AF$51,FALSE))</f>
        <v>2</v>
      </c>
      <c r="AG68" s="67">
        <f>IF($C68="","",VLOOKUP($C68,CTPit!$E$10:$BG$72,AG$51,FALSE))</f>
        <v>6.166666666666667</v>
      </c>
    </row>
    <row r="69" spans="1:33">
      <c r="A69">
        <v>5</v>
      </c>
      <c r="B69" s="36" t="s">
        <v>19</v>
      </c>
      <c r="C69" s="65"/>
      <c r="D69" s="37" t="str">
        <f>IF($C69="","",VLOOKUP($C69,CTPit!$E$10:$BG$214,D$1,FALSE))</f>
        <v/>
      </c>
      <c r="E69" s="37" t="str">
        <f>IF($C69="","",VLOOKUP($C69,CTPit!$E$10:$BG$214,E$1+1,FALSE))</f>
        <v/>
      </c>
      <c r="F69" s="53" t="str">
        <f t="shared" si="118"/>
        <v/>
      </c>
      <c r="G69" s="5" t="str">
        <f t="shared" si="119"/>
        <v/>
      </c>
      <c r="H69" s="3" t="str">
        <f t="shared" si="120"/>
        <v/>
      </c>
      <c r="I69" s="99" t="str">
        <f>IF($C69="","",VLOOKUP($C69,CTPit!$E$10:$BG$72,I$51,FALSE))</f>
        <v/>
      </c>
      <c r="J69" s="5" t="str">
        <f t="shared" si="121"/>
        <v/>
      </c>
      <c r="K69" s="53" t="str">
        <f>IF($C69="","",VLOOKUP($C69,CTPit!$E$10:$BG$72,K$51,FALSE))</f>
        <v/>
      </c>
      <c r="L69" s="5" t="str">
        <f>IF($C69="","",VLOOKUP($C69,CTPit!$E$10:$BG$72,L$51,FALSE))</f>
        <v/>
      </c>
      <c r="M69" s="3" t="str">
        <f>IF($C69="","",VLOOKUP($C69,CTPit!$E$10:$BG$72,M$51,FALSE))</f>
        <v/>
      </c>
      <c r="N69" s="5" t="str">
        <f>IF($C69="","",VLOOKUP($C69,CTPit!$E$10:$BG$72,N$51,FALSE))</f>
        <v/>
      </c>
      <c r="O69" s="5" t="str">
        <f>IF($C69="","",VLOOKUP($C69,CTPit!$E$10:$BG$72,O$51,FALSE))</f>
        <v/>
      </c>
      <c r="P69" s="5" t="str">
        <f>IF($C69="","",VLOOKUP($C69,CTPit!$E$10:$BG$72,P$51,FALSE))</f>
        <v/>
      </c>
      <c r="Q69" s="5" t="str">
        <f>IF($C69="","",VLOOKUP($C69,CTPit!$E$10:$BG$72,Q$51,FALSE))</f>
        <v/>
      </c>
      <c r="R69" s="5" t="str">
        <f>IF($C69="","",VLOOKUP($C69,CTPit!$E$10:$BG$72,R$51,FALSE))</f>
        <v/>
      </c>
      <c r="S69" s="5" t="str">
        <f>IF($C69="","",VLOOKUP($C69,CTPit!$E$10:$BG$72,S$51,FALSE))</f>
        <v/>
      </c>
      <c r="T69" s="5" t="str">
        <f>IF($C69="","",VLOOKUP($C69,CTPit!$E$10:$BG$72,T$51,FALSE))</f>
        <v/>
      </c>
      <c r="U69" s="5" t="str">
        <f>IF($C69="","",VLOOKUP($C69,CTPit!$E$10:$BG$72,U$51,FALSE))</f>
        <v/>
      </c>
      <c r="V69" s="5" t="str">
        <f>IF($C69="","",VLOOKUP($C69,CTPit!$E$10:$BG$72,V$51,FALSE))</f>
        <v/>
      </c>
      <c r="W69" s="5" t="str">
        <f>IF($C69="","",VLOOKUP($C69,CTPit!$E$10:$BG$72,W$51,FALSE))</f>
        <v/>
      </c>
      <c r="X69" s="5" t="str">
        <f>IF($C69="","",VLOOKUP($C69,CTPit!$E$10:$BG$72,X$51,FALSE))</f>
        <v/>
      </c>
      <c r="Y69" s="3" t="str">
        <f>IF($C69="","",VLOOKUP($C69,CTPit!$E$10:$BG$72,Y$51,FALSE))</f>
        <v/>
      </c>
      <c r="Z69" s="53" t="str">
        <f>IF($C69="","",VLOOKUP($C69,CTPit!$E$10:$BG$72,Z$51,FALSE))</f>
        <v/>
      </c>
      <c r="AA69" s="5" t="str">
        <f>IF($C69="","",VLOOKUP($C69,CTPit!$E$10:$BG$72,AA$51,FALSE))</f>
        <v/>
      </c>
      <c r="AB69" s="80" t="str">
        <f>IF($C69="","",VLOOKUP($C69,CTPit!$E$10:$BG$72,AB$51,FALSE))</f>
        <v/>
      </c>
      <c r="AC69" s="67" t="str">
        <f>IF($C69="","",VLOOKUP($C69,CTPit!$E$10:$BG$72,AC$51,FALSE))</f>
        <v/>
      </c>
      <c r="AD69" s="275" t="str">
        <f>IF($C69="","",VLOOKUP($C69,CTPit!$E$10:$BG$72,AD$51,FALSE))</f>
        <v/>
      </c>
      <c r="AE69" s="275" t="str">
        <f>IF($C69="","",VLOOKUP($C69,CTPit!$E$10:$BG$72,AE$51,FALSE))</f>
        <v/>
      </c>
      <c r="AF69" s="276" t="str">
        <f>IF($C69="","",VLOOKUP($C69,CTPit!$E$10:$BG$72,AF$51,FALSE))</f>
        <v/>
      </c>
      <c r="AG69" s="67" t="str">
        <f>IF($C69="","",VLOOKUP($C69,CTPit!$E$10:$BG$72,AG$51,FALSE))</f>
        <v/>
      </c>
    </row>
    <row r="70" spans="1:33">
      <c r="A70">
        <v>6</v>
      </c>
      <c r="B70" s="39" t="s">
        <v>19</v>
      </c>
      <c r="C70" s="40"/>
      <c r="D70" s="40" t="str">
        <f>IF($C70="","",VLOOKUP($C70,CTPit!$E$10:$BG$214,D$1,FALSE))</f>
        <v/>
      </c>
      <c r="E70" s="40" t="str">
        <f>IF($C70="","",VLOOKUP($C70,CTPit!$E$10:$BG$214,E$1+1,FALSE))</f>
        <v/>
      </c>
      <c r="F70" s="54" t="str">
        <f t="shared" si="118"/>
        <v/>
      </c>
      <c r="G70" s="41" t="str">
        <f t="shared" si="119"/>
        <v/>
      </c>
      <c r="H70" s="62" t="str">
        <f t="shared" si="120"/>
        <v/>
      </c>
      <c r="I70" s="100" t="str">
        <f>IF($C70="","",VLOOKUP($C70,CTPit!$E$10:$BG$72,I$51,FALSE))</f>
        <v/>
      </c>
      <c r="J70" s="41" t="str">
        <f t="shared" si="121"/>
        <v/>
      </c>
      <c r="K70" s="54" t="str">
        <f>IF($C70="","",VLOOKUP($C70,CTPit!$E$10:$BG$72,K$51,FALSE))</f>
        <v/>
      </c>
      <c r="L70" s="41" t="str">
        <f>IF($C70="","",VLOOKUP($C70,CTPit!$E$10:$BG$72,L$51,FALSE))</f>
        <v/>
      </c>
      <c r="M70" s="62" t="str">
        <f>IF($C70="","",VLOOKUP($C70,CTPit!$E$10:$BG$72,M$51,FALSE))</f>
        <v/>
      </c>
      <c r="N70" s="41" t="str">
        <f>IF($C70="","",VLOOKUP($C70,CTPit!$E$10:$BG$72,N$51,FALSE))</f>
        <v/>
      </c>
      <c r="O70" s="41" t="str">
        <f>IF($C70="","",VLOOKUP($C70,CTPit!$E$10:$BG$72,O$51,FALSE))</f>
        <v/>
      </c>
      <c r="P70" s="41" t="str">
        <f>IF($C70="","",VLOOKUP($C70,CTPit!$E$10:$BG$72,P$51,FALSE))</f>
        <v/>
      </c>
      <c r="Q70" s="41" t="str">
        <f>IF($C70="","",VLOOKUP($C70,CTPit!$E$10:$BG$72,Q$51,FALSE))</f>
        <v/>
      </c>
      <c r="R70" s="41" t="str">
        <f>IF($C70="","",VLOOKUP($C70,CTPit!$E$10:$BG$72,R$51,FALSE))</f>
        <v/>
      </c>
      <c r="S70" s="41" t="str">
        <f>IF($C70="","",VLOOKUP($C70,CTPit!$E$10:$BG$72,S$51,FALSE))</f>
        <v/>
      </c>
      <c r="T70" s="41" t="str">
        <f>IF($C70="","",VLOOKUP($C70,CTPit!$E$10:$BG$72,T$51,FALSE))</f>
        <v/>
      </c>
      <c r="U70" s="41" t="str">
        <f>IF($C70="","",VLOOKUP($C70,CTPit!$E$10:$BG$72,U$51,FALSE))</f>
        <v/>
      </c>
      <c r="V70" s="41" t="str">
        <f>IF($C70="","",VLOOKUP($C70,CTPit!$E$10:$BG$72,V$51,FALSE))</f>
        <v/>
      </c>
      <c r="W70" s="41" t="str">
        <f>IF($C70="","",VLOOKUP($C70,CTPit!$E$10:$BG$72,W$51,FALSE))</f>
        <v/>
      </c>
      <c r="X70" s="41" t="str">
        <f>IF($C70="","",VLOOKUP($C70,CTPit!$E$10:$BG$72,X$51,FALSE))</f>
        <v/>
      </c>
      <c r="Y70" s="62" t="str">
        <f>IF($C70="","",VLOOKUP($C70,CTPit!$E$10:$BG$72,Y$51,FALSE))</f>
        <v/>
      </c>
      <c r="Z70" s="54" t="str">
        <f>IF($C70="","",VLOOKUP($C70,CTPit!$E$10:$BG$72,Z$51,FALSE))</f>
        <v/>
      </c>
      <c r="AA70" s="41" t="str">
        <f>IF($C70="","",VLOOKUP($C70,CTPit!$E$10:$BG$72,AA$51,FALSE))</f>
        <v/>
      </c>
      <c r="AB70" s="81" t="str">
        <f>IF($C70="","",VLOOKUP($C70,CTPit!$E$10:$BG$72,AB$51,FALSE))</f>
        <v/>
      </c>
      <c r="AC70" s="68" t="str">
        <f>IF($C70="","",VLOOKUP($C70,CTPit!$E$10:$BG$72,AC$51,FALSE))</f>
        <v/>
      </c>
      <c r="AD70" s="273" t="str">
        <f>IF($C70="","",VLOOKUP($C70,CTPit!$E$10:$BG$72,AD$51,FALSE))</f>
        <v/>
      </c>
      <c r="AE70" s="273" t="str">
        <f>IF($C70="","",VLOOKUP($C70,CTPit!$E$10:$BG$72,AE$51,FALSE))</f>
        <v/>
      </c>
      <c r="AF70" s="274" t="str">
        <f>IF($C70="","",VLOOKUP($C70,CTPit!$E$10:$BG$72,AF$51,FALSE))</f>
        <v/>
      </c>
      <c r="AG70" s="68" t="str">
        <f>IF($C70="","",VLOOKUP($C70,CTPit!$E$10:$BG$72,AG$51,FALSE))</f>
        <v/>
      </c>
    </row>
  </sheetData>
  <mergeCells count="11">
    <mergeCell ref="AG26:AT26"/>
    <mergeCell ref="AH31:AT31"/>
    <mergeCell ref="AH29:AT29"/>
    <mergeCell ref="AH27:AT27"/>
    <mergeCell ref="AH30:AT30"/>
    <mergeCell ref="AH28:AT28"/>
    <mergeCell ref="AH32:AT32"/>
    <mergeCell ref="AH33:AT33"/>
    <mergeCell ref="AH34:AT34"/>
    <mergeCell ref="AH35:AT35"/>
    <mergeCell ref="AH36:AT36"/>
  </mergeCells>
  <conditionalFormatting sqref="G13">
    <cfRule type="expression" dxfId="152" priority="18">
      <formula>IF(SUM(G14:G19)&gt;1,1,0)</formula>
    </cfRule>
  </conditionalFormatting>
  <conditionalFormatting sqref="H13">
    <cfRule type="expression" dxfId="151" priority="17">
      <formula>IF(SUM(H14:H19)&gt;1,1,0)</formula>
    </cfRule>
  </conditionalFormatting>
  <conditionalFormatting sqref="F13">
    <cfRule type="expression" dxfId="150" priority="16">
      <formula>IF(SUM(F14:F19)&gt;1,1,0)</formula>
    </cfRule>
  </conditionalFormatting>
  <conditionalFormatting sqref="I2">
    <cfRule type="expression" dxfId="149" priority="14">
      <formula>-IF(SUM(I3:I11)&gt;1,1,0)</formula>
    </cfRule>
  </conditionalFormatting>
  <conditionalFormatting sqref="H2">
    <cfRule type="expression" dxfId="148" priority="13">
      <formula>-IF(SUM(H3:H11)&gt;1,1,0)</formula>
    </cfRule>
  </conditionalFormatting>
  <conditionalFormatting sqref="F21">
    <cfRule type="expression" dxfId="147" priority="12">
      <formula>IF(SUM($F$22:$F$24)&gt;1,1,0)</formula>
    </cfRule>
  </conditionalFormatting>
  <conditionalFormatting sqref="F52">
    <cfRule type="expression" dxfId="146" priority="11">
      <formula>IF(SUM($F$53:$F$58)&gt;1,1,0)</formula>
    </cfRule>
  </conditionalFormatting>
  <conditionalFormatting sqref="H52">
    <cfRule type="expression" dxfId="145" priority="10">
      <formula>IF(SUM($H$53:$H$58)&gt;3,1,0)</formula>
    </cfRule>
  </conditionalFormatting>
  <conditionalFormatting sqref="G52">
    <cfRule type="expression" dxfId="144" priority="9">
      <formula>IF(SUM($G$53:$G$58)&gt;2,1,0)</formula>
    </cfRule>
  </conditionalFormatting>
  <conditionalFormatting sqref="C22:C24 C14:C19 C3:C11">
    <cfRule type="expression" dxfId="143" priority="5">
      <formula>IF($AK3&lt;4.5,1,0)</formula>
    </cfRule>
    <cfRule type="expression" dxfId="142" priority="6">
      <formula>IF($AK3&gt;7,1,0)</formula>
    </cfRule>
  </conditionalFormatting>
  <conditionalFormatting sqref="C15">
    <cfRule type="expression" dxfId="141" priority="3">
      <formula>IF($AK15&lt;4.5,1,0)</formula>
    </cfRule>
    <cfRule type="expression" dxfId="140" priority="4">
      <formula>IF($AK15&gt;7,1,0)</formula>
    </cfRule>
  </conditionalFormatting>
  <conditionalFormatting sqref="F2">
    <cfRule type="expression" dxfId="139" priority="2">
      <formula>IF(SUM(F3:F11)&gt;1,1,0)</formula>
    </cfRule>
  </conditionalFormatting>
  <conditionalFormatting sqref="G2">
    <cfRule type="expression" dxfId="138" priority="1">
      <formula>IF(SUM(G3:G11)&gt;1,1,0)</formula>
    </cfRule>
  </conditionalFormatting>
  <pageMargins left="0.7" right="0.7" top="0.75" bottom="0.75" header="0.3" footer="0.3"/>
  <pageSetup orientation="portrait" r:id="rId1"/>
  <ignoredErrors>
    <ignoredError sqref="J53:J58 J61:J62 J68:J70 J65:J67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 published="0">
    <tabColor theme="3" tint="0.39997558519241921"/>
  </sheetPr>
  <dimension ref="A1:AZ72"/>
  <sheetViews>
    <sheetView topLeftCell="A34" zoomScale="85" zoomScaleNormal="85" workbookViewId="0">
      <selection activeCell="C53" sqref="C53"/>
    </sheetView>
  </sheetViews>
  <sheetFormatPr defaultRowHeight="15"/>
  <cols>
    <col min="1" max="1" width="3.140625" customWidth="1"/>
    <col min="2" max="2" width="10.7109375" style="1" bestFit="1" customWidth="1"/>
    <col min="3" max="3" width="20" style="26" bestFit="1" customWidth="1"/>
    <col min="4" max="4" width="4.5703125" style="26" customWidth="1"/>
    <col min="5" max="5" width="4.42578125" style="26" customWidth="1"/>
    <col min="6" max="6" width="4.42578125" bestFit="1" customWidth="1"/>
    <col min="7" max="7" width="3.7109375" bestFit="1" customWidth="1"/>
    <col min="8" max="8" width="4.7109375" bestFit="1" customWidth="1"/>
    <col min="9" max="9" width="4.28515625" customWidth="1"/>
    <col min="10" max="12" width="3.7109375" customWidth="1"/>
    <col min="13" max="16" width="3.7109375" bestFit="1" customWidth="1"/>
    <col min="17" max="17" width="4.28515625" bestFit="1" customWidth="1"/>
    <col min="18" max="18" width="4.7109375" bestFit="1" customWidth="1"/>
    <col min="19" max="21" width="3.7109375" bestFit="1" customWidth="1"/>
    <col min="22" max="22" width="4.28515625" bestFit="1" customWidth="1"/>
    <col min="23" max="23" width="4.7109375" bestFit="1" customWidth="1"/>
    <col min="24" max="24" width="4.28515625" customWidth="1"/>
    <col min="25" max="25" width="4.28515625" bestFit="1" customWidth="1"/>
    <col min="26" max="26" width="11.42578125" bestFit="1" customWidth="1"/>
    <col min="27" max="27" width="4.28515625" bestFit="1" customWidth="1"/>
    <col min="28" max="29" width="4.7109375" bestFit="1" customWidth="1"/>
    <col min="30" max="32" width="4.28515625" bestFit="1" customWidth="1"/>
    <col min="33" max="33" width="6.28515625" customWidth="1"/>
    <col min="34" max="36" width="3.7109375" bestFit="1" customWidth="1"/>
    <col min="37" max="37" width="4.5703125" bestFit="1" customWidth="1"/>
    <col min="38" max="51" width="3.7109375" bestFit="1" customWidth="1"/>
    <col min="52" max="52" width="4.5703125" bestFit="1" customWidth="1"/>
  </cols>
  <sheetData>
    <row r="1" spans="1:52">
      <c r="C1" s="290" t="s">
        <v>538</v>
      </c>
      <c r="D1" s="290" t="s">
        <v>539</v>
      </c>
    </row>
    <row r="2" spans="1:52">
      <c r="B2" s="290" t="s">
        <v>540</v>
      </c>
      <c r="C2" s="291">
        <v>5.5</v>
      </c>
      <c r="D2" s="291">
        <v>4.5</v>
      </c>
    </row>
    <row r="3" spans="1:52">
      <c r="B3" s="290" t="s">
        <v>541</v>
      </c>
      <c r="C3" s="291">
        <v>5.5</v>
      </c>
      <c r="D3" s="291">
        <v>4.5</v>
      </c>
    </row>
    <row r="4" spans="1:52">
      <c r="D4" s="26">
        <v>4</v>
      </c>
      <c r="E4" s="26">
        <v>5</v>
      </c>
      <c r="J4">
        <v>23</v>
      </c>
      <c r="K4">
        <v>21</v>
      </c>
      <c r="L4">
        <v>22</v>
      </c>
      <c r="M4">
        <v>24</v>
      </c>
      <c r="N4">
        <v>25</v>
      </c>
      <c r="O4">
        <v>26</v>
      </c>
      <c r="P4">
        <v>27</v>
      </c>
      <c r="Q4">
        <v>28</v>
      </c>
      <c r="R4">
        <v>29</v>
      </c>
      <c r="S4">
        <v>30</v>
      </c>
      <c r="T4">
        <v>31</v>
      </c>
      <c r="AD4">
        <v>11</v>
      </c>
      <c r="AE4">
        <v>12</v>
      </c>
      <c r="AF4">
        <v>13</v>
      </c>
      <c r="AG4">
        <v>14</v>
      </c>
      <c r="AH4">
        <v>15</v>
      </c>
      <c r="AI4">
        <v>32</v>
      </c>
      <c r="AJ4">
        <v>33</v>
      </c>
      <c r="AU4">
        <v>16</v>
      </c>
      <c r="AV4">
        <v>17</v>
      </c>
      <c r="AW4">
        <v>18</v>
      </c>
      <c r="AX4">
        <v>19</v>
      </c>
      <c r="AY4">
        <v>20</v>
      </c>
    </row>
    <row r="5" spans="1:52" s="24" customFormat="1" ht="215.25">
      <c r="A5" s="25" t="s">
        <v>193</v>
      </c>
      <c r="B5" s="270" t="s">
        <v>124</v>
      </c>
      <c r="C5" s="44" t="str">
        <f>"Player ("&amp;COUNTA(C6:C17)&amp;")"</f>
        <v>Player (4)</v>
      </c>
      <c r="D5" s="44" t="s">
        <v>91</v>
      </c>
      <c r="E5" s="44" t="s">
        <v>101</v>
      </c>
      <c r="F5" s="51" t="str">
        <f>"Only 1 guy who plays only 1B ("&amp;SUM(F6:F17)&amp;")"</f>
        <v>Only 1 guy who plays only 1B (2)</v>
      </c>
      <c r="G5" s="45" t="str">
        <f>"Only 1 guy who can only play 1B or LF ("&amp;SUM(G6:G17)&amp;")"</f>
        <v>Only 1 guy who can only play 1B or LF (2)</v>
      </c>
      <c r="H5" s="46" t="str">
        <f>"2 guys with RF arms ("&amp;SUM(H6:H17)&amp;")"</f>
        <v>2 guys with RF arms (0)</v>
      </c>
      <c r="I5" s="46" t="str">
        <f>"2 guys with CF range ("&amp;SUM(I6:I17)&amp;")"</f>
        <v>2 guys with CF range (0)</v>
      </c>
      <c r="J5" s="55" t="s">
        <v>136</v>
      </c>
      <c r="K5" s="47" t="s">
        <v>134</v>
      </c>
      <c r="L5" s="56" t="s">
        <v>135</v>
      </c>
      <c r="M5" s="48" t="s">
        <v>92</v>
      </c>
      <c r="N5" s="48" t="s">
        <v>94</v>
      </c>
      <c r="O5" s="48" t="s">
        <v>95</v>
      </c>
      <c r="P5" s="48" t="s">
        <v>96</v>
      </c>
      <c r="Q5" s="48" t="s">
        <v>97</v>
      </c>
      <c r="R5" s="48" t="s">
        <v>98</v>
      </c>
      <c r="S5" s="48" t="s">
        <v>99</v>
      </c>
      <c r="T5" s="49" t="s">
        <v>100</v>
      </c>
      <c r="U5" s="51" t="s">
        <v>137</v>
      </c>
      <c r="V5" s="45" t="s">
        <v>181</v>
      </c>
      <c r="W5" s="45" t="s">
        <v>138</v>
      </c>
      <c r="X5" s="45" t="s">
        <v>154</v>
      </c>
      <c r="Y5" s="45" t="s">
        <v>153</v>
      </c>
      <c r="Z5" s="45" t="s">
        <v>141</v>
      </c>
      <c r="AA5" s="45" t="s">
        <v>142</v>
      </c>
      <c r="AB5" s="45" t="s">
        <v>159</v>
      </c>
      <c r="AC5" s="60" t="s">
        <v>143</v>
      </c>
      <c r="AD5" s="48" t="s">
        <v>147</v>
      </c>
      <c r="AE5" s="48" t="s">
        <v>148</v>
      </c>
      <c r="AF5" s="48" t="s">
        <v>149</v>
      </c>
      <c r="AG5" s="48" t="s">
        <v>150</v>
      </c>
      <c r="AH5" s="48" t="s">
        <v>29</v>
      </c>
      <c r="AI5" s="63" t="s">
        <v>151</v>
      </c>
      <c r="AJ5" s="49" t="s">
        <v>152</v>
      </c>
      <c r="AK5" s="66" t="s">
        <v>157</v>
      </c>
      <c r="AL5" s="51" t="s">
        <v>137</v>
      </c>
      <c r="AM5" s="45" t="s">
        <v>181</v>
      </c>
      <c r="AN5" s="45" t="s">
        <v>138</v>
      </c>
      <c r="AO5" s="45" t="s">
        <v>154</v>
      </c>
      <c r="AP5" s="45" t="s">
        <v>153</v>
      </c>
      <c r="AQ5" s="45" t="s">
        <v>141</v>
      </c>
      <c r="AR5" s="45" t="s">
        <v>142</v>
      </c>
      <c r="AS5" s="45" t="s">
        <v>159</v>
      </c>
      <c r="AT5" s="60" t="s">
        <v>143</v>
      </c>
      <c r="AU5" s="63" t="s">
        <v>147</v>
      </c>
      <c r="AV5" s="48" t="s">
        <v>148</v>
      </c>
      <c r="AW5" s="48" t="s">
        <v>149</v>
      </c>
      <c r="AX5" s="48" t="s">
        <v>150</v>
      </c>
      <c r="AY5" s="49" t="s">
        <v>29</v>
      </c>
      <c r="AZ5" s="66" t="s">
        <v>197</v>
      </c>
    </row>
    <row r="6" spans="1:52">
      <c r="A6">
        <v>1</v>
      </c>
      <c r="B6" s="32" t="s">
        <v>94</v>
      </c>
      <c r="C6" s="37" t="s">
        <v>384</v>
      </c>
      <c r="D6" s="33">
        <f>IF($C6="","",VLOOKUP($C6,CTBat!$G$10:$BR$203,D$4,FALSE))</f>
        <v>21</v>
      </c>
      <c r="E6" s="33" t="str">
        <f>IF($C6="","",VLOOKUP($C6,CTBat!$G$10:$BR$203,E$4,FALSE))</f>
        <v>L</v>
      </c>
      <c r="F6" s="52">
        <f>IF($C6="","",IF(AND(N6&gt;0,N6=SUM(M6:T6)),1,0))</f>
        <v>1</v>
      </c>
      <c r="G6" s="34">
        <f>IF($C6="","",IF(AND(OR(N6&gt;0,R6&gt;0),SUM(N6,R6)=SUM(M6:T6)),1,0))</f>
        <v>1</v>
      </c>
      <c r="H6" s="34">
        <f>IF($C6="","",IF(L6&gt;6,1,0))</f>
        <v>0</v>
      </c>
      <c r="I6" s="34">
        <f t="shared" ref="I6:I10" si="0">IF($C6="","",IF(AND(S6&gt;4,S6&lt;&gt;"-"),1,0))</f>
        <v>0</v>
      </c>
      <c r="J6" s="57">
        <f>IF($C6="","",VLOOKUP($C6,CTBat!$G$10:$BR$203,J$4,FALSE))</f>
        <v>1</v>
      </c>
      <c r="K6" s="33">
        <f>IF($C6="","",VLOOKUP($C6,CTBat!$G$10:$BR$203,K$4,FALSE))</f>
        <v>2</v>
      </c>
      <c r="L6" s="35">
        <f>IF($C6="","",VLOOKUP($C6,CTBat!$G$10:$BR$203,L$4,FALSE))</f>
        <v>1</v>
      </c>
      <c r="M6" s="33" t="str">
        <f>IF($C6="","",VLOOKUP($C6,CTBat!$G$10:$BR$203,M$4,FALSE))</f>
        <v>-</v>
      </c>
      <c r="N6" s="33">
        <f>IF($C6="","",VLOOKUP($C6,CTBat!$G$10:$BR$203,N$4,FALSE))</f>
        <v>5</v>
      </c>
      <c r="O6" s="33" t="str">
        <f>IF($C6="","",VLOOKUP($C6,CTBat!$G$10:$BR$203,O$4,FALSE))</f>
        <v>-</v>
      </c>
      <c r="P6" s="33" t="str">
        <f>IF($C6="","",VLOOKUP($C6,CTBat!$G$10:$BR$203,P$4,FALSE))</f>
        <v>-</v>
      </c>
      <c r="Q6" s="33" t="str">
        <f>IF($C6="","",VLOOKUP($C6,CTBat!$G$10:$BR$203,Q$4,FALSE))</f>
        <v>-</v>
      </c>
      <c r="R6" s="33" t="str">
        <f>IF($C6="","",VLOOKUP($C6,CTBat!$G$10:$BR$203,R$4,FALSE))</f>
        <v>-</v>
      </c>
      <c r="S6" s="33" t="str">
        <f>IF($C6="","",VLOOKUP($C6,CTBat!$G$10:$BR$203,S$4,FALSE))</f>
        <v>-</v>
      </c>
      <c r="T6" s="35" t="str">
        <f>IF($C6="","",VLOOKUP($C6,CTBat!$G$10:$BR$203,T$4,FALSE))</f>
        <v>-</v>
      </c>
      <c r="U6" s="53">
        <f t="shared" ref="U6:U17" si="1">IF($C6="","",IF(OR(AD6+AG6&gt;14,AND(OR(AD6+AG6&gt;12,AND(AD6&gt;6,AG6&gt;6)),AI6&gt;6,OR(AJ6&gt;=AI6,AJ6&gt;6))),1,0))</f>
        <v>0</v>
      </c>
      <c r="V6" s="275">
        <f t="shared" ref="V6:V17" si="2">IF($C6="","",IF(OR(AND(AD6&gt;6,AH6&gt;6),AD6+AG6&gt;12),1,0))</f>
        <v>0</v>
      </c>
      <c r="W6" s="34">
        <f>IF($C6="","",IF(AND(AD6&gt;6,AF6&gt;6,AG6&gt;6),1,0))</f>
        <v>0</v>
      </c>
      <c r="X6" s="34">
        <f>IF($C6="","",IF(AND(AF6&gt;7,OR(AD6&gt;6,AG6&gt;6)),1,0))</f>
        <v>0</v>
      </c>
      <c r="Y6" s="34">
        <f>IF($C6="","",IF(AND(AF6&gt;6,OR(AD6&gt;6,AG6&gt;6)),1,0))</f>
        <v>0</v>
      </c>
      <c r="Z6" s="34">
        <f>IF($C6="","",IF(AND(OR(AD6&gt;6,AF6&gt;6),OR(AD6&gt;6,AG6&gt;6)),1,0))</f>
        <v>0</v>
      </c>
      <c r="AA6" s="34">
        <f>IF($C6="","",IF(AND(AD6&gt;4,OR(AD6&gt;6,AF6&gt;6,AG6&gt;6)),1,0))</f>
        <v>0</v>
      </c>
      <c r="AB6" s="34">
        <f>IF($C6="","",IF(AND(AD6&gt;4,OR(AD6&gt;6,AE6&gt;6,AF6&gt;6,AG6&gt;6)),1,0))</f>
        <v>0</v>
      </c>
      <c r="AC6" s="61">
        <f>IF($C6="","",IF(AND(AD6&gt;4,MAX(AD6:AH6)&gt;6),1,0))</f>
        <v>0</v>
      </c>
      <c r="AD6" s="33">
        <f>IF($C6="","",VLOOKUP($C6,CTBat!$G$10:$BR$203,AD$4,FALSE))</f>
        <v>6</v>
      </c>
      <c r="AE6" s="33">
        <f>IF($C6="","",VLOOKUP($C6,CTBat!$G$10:$BR$203,AE$4,FALSE))</f>
        <v>6</v>
      </c>
      <c r="AF6" s="33">
        <f>IF($C6="","",VLOOKUP($C6,CTBat!$G$10:$BR$203,AF$4,FALSE))</f>
        <v>3</v>
      </c>
      <c r="AG6" s="33">
        <f>IF($C6="","",VLOOKUP($C6,CTBat!$G$10:$BR$203,AG$4,FALSE))</f>
        <v>5</v>
      </c>
      <c r="AH6" s="33">
        <f>IF($C6="","",VLOOKUP($C6,CTBat!$G$10:$BR$203,AH$4,FALSE))</f>
        <v>3</v>
      </c>
      <c r="AI6" s="57">
        <f>IF($C6="","",VLOOKUP($C6,CTBat!$G$10:$BR$203,AI$4,FALSE))</f>
        <v>1</v>
      </c>
      <c r="AJ6" s="35">
        <f>IF($C6="","",VLOOKUP($C6,CTBat!$G$10:$BR$203,AJ$4,FALSE))</f>
        <v>2</v>
      </c>
      <c r="AK6" s="67">
        <f>IF($C6="","",(5*AD6+4*AF6+3*AG6+2*AE6+1*AH6+0.5*(AVERAGE(AD6:AE6))+0.5*AVERAGE(AD6,AH6)+1*(AVERAGE(AD6,AF6))+1*AVERAGE(AD6,AG6))/(5+4+3+2+1+0.5+0.5+1+1))</f>
        <v>4.8472222222222223</v>
      </c>
      <c r="AL6" s="52">
        <f>IF($C6="","",IF(AND(OR(AU6+AX6&gt;12,AND(AU6&gt;6,AX6&gt;6)),AI6&gt;6,OR(AJ6&gt;=AI6,AJ6&gt;6)),1,0))</f>
        <v>0</v>
      </c>
      <c r="AM6" s="34">
        <f>IF($C6="","",IF(OR(AND(AU6&gt;6,AY6&gt;6),AU6+AX6&gt;12),1,0))</f>
        <v>1</v>
      </c>
      <c r="AN6" s="34">
        <f>IF($C6="","",IF(AND(AU6&gt;6,AW6&gt;6,AX6&gt;6),1,0))</f>
        <v>0</v>
      </c>
      <c r="AO6" s="34">
        <f>IF($C6="","",IF(AND(AW6&gt;7,OR(AU6&gt;6,AX6&gt;6)),1,0))</f>
        <v>0</v>
      </c>
      <c r="AP6" s="34">
        <f>IF($C6="","",IF(AND(AW6&gt;6,OR(AU6&gt;6,AX6&gt;6)),1,0))</f>
        <v>0</v>
      </c>
      <c r="AQ6" s="34">
        <f>IF($C6="","",IF(AND(OR(AU6&gt;6,AW6&gt;6),OR(AU6&gt;6,AX6&gt;6)),1,0))</f>
        <v>1</v>
      </c>
      <c r="AR6" s="34">
        <f>IF($C6="","",IF(AND(AU6&gt;4,OR(AU6&gt;6,AW6&gt;6,AX6&gt;6)),1,0))</f>
        <v>1</v>
      </c>
      <c r="AS6" s="34">
        <f>IF($C6="","",IF(AND(AU6&gt;4,OR(AU6&gt;6,AV6&gt;6,AW6&gt;6,AX6&gt;6)),1,0))</f>
        <v>1</v>
      </c>
      <c r="AT6" s="61">
        <f>IF($C6="","",IF(AND(AU6&gt;4,MAX(AU6:AY6)&gt;6),1,0))</f>
        <v>1</v>
      </c>
      <c r="AU6" s="57">
        <f>IF($C6="","",VLOOKUP($C6,CTBat!$G$10:$BR$203,AU$4,FALSE))</f>
        <v>7</v>
      </c>
      <c r="AV6" s="33">
        <f>IF($C6="","",VLOOKUP($C6,CTBat!$G$10:$BR$203,AV$4,FALSE))</f>
        <v>6</v>
      </c>
      <c r="AW6" s="33">
        <f>IF($C6="","",VLOOKUP($C6,CTBat!$G$10:$BR$203,AW$4,FALSE))</f>
        <v>6</v>
      </c>
      <c r="AX6" s="33">
        <f>IF($C6="","",VLOOKUP($C6,CTBat!$G$10:$BR$203,AX$4,FALSE))</f>
        <v>7</v>
      </c>
      <c r="AY6" s="35">
        <f>IF($C6="","",VLOOKUP($C6,CTBat!$G$10:$BR$203,AY$4,FALSE))</f>
        <v>4</v>
      </c>
      <c r="AZ6" s="67">
        <f>IF($C6="","",(5*AU6+4*AW6+3*AX6+2*AV6+1*AY6+0.5*(AVERAGE(AU6:AV6))+0.5*AVERAGE(AU6,AY6)+1*(AVERAGE(AU6,AW6))+1*AVERAGE(AU6,AX6))/(5+4+3+2+1+0.5+0.5+1+1))</f>
        <v>6.416666666666667</v>
      </c>
    </row>
    <row r="7" spans="1:52">
      <c r="A7">
        <v>2</v>
      </c>
      <c r="B7" s="36" t="s">
        <v>98</v>
      </c>
      <c r="C7" s="37" t="s">
        <v>465</v>
      </c>
      <c r="D7" s="37">
        <f>IF($C7="","",VLOOKUP($C7,CTBat!$G$10:$BR$203,D$4,FALSE))</f>
        <v>22</v>
      </c>
      <c r="E7" s="37" t="str">
        <f>IF($C7="","",VLOOKUP($C7,CTBat!$G$10:$BR$203,E$4,FALSE))</f>
        <v>R</v>
      </c>
      <c r="F7" s="53">
        <f t="shared" ref="F7:F17" si="3">IF($C7="","",IF(AND(N7&gt;0,N7=SUM(M7:T7)),1,0))</f>
        <v>0</v>
      </c>
      <c r="G7" s="275">
        <f t="shared" ref="G7:G17" si="4">IF($C7="","",IF(AND(OR(N7&gt;0,R7&gt;0),SUM(N7,R7)=SUM(M7:T7)),1,0))</f>
        <v>0</v>
      </c>
      <c r="H7" s="275">
        <f t="shared" ref="H7:H17" si="5">IF($C7="","",IF(L7&gt;6,1,0))</f>
        <v>0</v>
      </c>
      <c r="I7" s="275">
        <f t="shared" si="0"/>
        <v>0</v>
      </c>
      <c r="J7" s="58">
        <f>IF($C7="","",VLOOKUP($C7,CTBat!$G$10:$BR$203,J$4,FALSE))</f>
        <v>1</v>
      </c>
      <c r="K7" s="37">
        <f>IF($C7="","",VLOOKUP($C7,CTBat!$G$10:$BR$203,K$4,FALSE))</f>
        <v>1</v>
      </c>
      <c r="L7" s="38">
        <f>IF($C7="","",VLOOKUP($C7,CTBat!$G$10:$BR$203,L$4,FALSE))</f>
        <v>5</v>
      </c>
      <c r="M7" s="37" t="str">
        <f>IF($C7="","",VLOOKUP($C7,CTBat!$G$10:$BR$203,M$4,FALSE))</f>
        <v>-</v>
      </c>
      <c r="N7" s="37" t="str">
        <f>IF($C7="","",VLOOKUP($C7,CTBat!$G$10:$BR$203,N$4,FALSE))</f>
        <v>-</v>
      </c>
      <c r="O7" s="37" t="str">
        <f>IF($C7="","",VLOOKUP($C7,CTBat!$G$10:$BR$203,O$4,FALSE))</f>
        <v>-</v>
      </c>
      <c r="P7" s="37" t="str">
        <f>IF($C7="","",VLOOKUP($C7,CTBat!$G$10:$BR$203,P$4,FALSE))</f>
        <v>-</v>
      </c>
      <c r="Q7" s="37" t="str">
        <f>IF($C7="","",VLOOKUP($C7,CTBat!$G$10:$BR$203,Q$4,FALSE))</f>
        <v>-</v>
      </c>
      <c r="R7" s="37">
        <f>IF($C7="","",VLOOKUP($C7,CTBat!$G$10:$BR$203,R$4,FALSE))</f>
        <v>8</v>
      </c>
      <c r="S7" s="37" t="str">
        <f>IF($C7="","",VLOOKUP($C7,CTBat!$G$10:$BR$203,S$4,FALSE))</f>
        <v>-</v>
      </c>
      <c r="T7" s="38">
        <f>IF($C7="","",VLOOKUP($C7,CTBat!$G$10:$BR$203,T$4,FALSE))</f>
        <v>3</v>
      </c>
      <c r="U7" s="53">
        <f t="shared" si="1"/>
        <v>0</v>
      </c>
      <c r="V7" s="275">
        <f t="shared" si="2"/>
        <v>0</v>
      </c>
      <c r="W7" s="275">
        <f t="shared" ref="W7:W17" si="6">IF($C7="","",IF(AND(AD7&gt;6,AF7&gt;6,AG7&gt;6),1,0))</f>
        <v>0</v>
      </c>
      <c r="X7" s="275">
        <f t="shared" ref="X7:X17" si="7">IF($C7="","",IF(AND(AF7&gt;7,OR(AD7&gt;6,AG7&gt;6)),1,0))</f>
        <v>0</v>
      </c>
      <c r="Y7" s="275">
        <f t="shared" ref="Y7:Y17" si="8">IF($C7="","",IF(AND(AF7&gt;6,OR(AD7&gt;6,AG7&gt;6)),1,0))</f>
        <v>0</v>
      </c>
      <c r="Z7" s="275">
        <f t="shared" ref="Z7:Z17" si="9">IF($C7="","",IF(AND(OR(AD7&gt;6,AF7&gt;6),OR(AD7&gt;6,AG7&gt;6)),1,0))</f>
        <v>0</v>
      </c>
      <c r="AA7" s="275">
        <f t="shared" ref="AA7:AA17" si="10">IF($C7="","",IF(AND(AD7&gt;4,OR(AD7&gt;6,AF7&gt;6,AG7&gt;6)),1,0))</f>
        <v>0</v>
      </c>
      <c r="AB7" s="275">
        <f t="shared" ref="AB7:AB17" si="11">IF($C7="","",IF(AND(AD7&gt;4,OR(AD7&gt;6,AE7&gt;6,AF7&gt;6,AG7&gt;6)),1,0))</f>
        <v>0</v>
      </c>
      <c r="AC7" s="276">
        <f t="shared" ref="AC7:AC17" si="12">IF($C7="","",IF(AND(AD7&gt;4,MAX(AD7:AH7)&gt;6),1,0))</f>
        <v>0</v>
      </c>
      <c r="AD7" s="37">
        <f>IF($C7="","",VLOOKUP($C7,CTBat!$G$10:$BR$203,AD$4,FALSE))</f>
        <v>5</v>
      </c>
      <c r="AE7" s="37">
        <f>IF($C7="","",VLOOKUP($C7,CTBat!$G$10:$BR$203,AE$4,FALSE))</f>
        <v>4</v>
      </c>
      <c r="AF7" s="37">
        <f>IF($C7="","",VLOOKUP($C7,CTBat!$G$10:$BR$203,AF$4,FALSE))</f>
        <v>5</v>
      </c>
      <c r="AG7" s="37">
        <f>IF($C7="","",VLOOKUP($C7,CTBat!$G$10:$BR$203,AG$4,FALSE))</f>
        <v>5</v>
      </c>
      <c r="AH7" s="37">
        <f>IF($C7="","",VLOOKUP($C7,CTBat!$G$10:$BR$203,AH$4,FALSE))</f>
        <v>2</v>
      </c>
      <c r="AI7" s="58">
        <f>IF($C7="","",VLOOKUP($C7,CTBat!$G$10:$BR$203,AI$4,FALSE))</f>
        <v>5</v>
      </c>
      <c r="AJ7" s="38">
        <f>IF($C7="","",VLOOKUP($C7,CTBat!$G$10:$BR$203,AJ$4,FALSE))</f>
        <v>8</v>
      </c>
      <c r="AK7" s="67">
        <f t="shared" ref="AK7:AK17" si="13">IF($C7="","",(5*AD7+4*AF7+3*AG7+2*AE7+1*AH7+0.5*(AVERAGE(AD7:AE7))+0.5*AVERAGE(AD7,AH7)+1*(AVERAGE(AD7,AF7))+1*AVERAGE(AD7,AG7))/(5+4+3+2+1+0.5+0.5+1+1))</f>
        <v>4.666666666666667</v>
      </c>
      <c r="AL7" s="53">
        <f t="shared" ref="AL7:AL17" si="14">IF($C7="","",IF(AND(OR(AU7+AX7&gt;12,AND(AU7&gt;6,AX7&gt;6)),AI7&gt;6,OR(AJ7&gt;=AI7,AJ7&gt;6)),1,0))</f>
        <v>0</v>
      </c>
      <c r="AM7" s="275">
        <f t="shared" ref="AM7:AM17" si="15">IF($C7="","",IF(OR(AND(AU7&gt;6,AY7&gt;6),AU7+AX7&gt;12),1,0))</f>
        <v>1</v>
      </c>
      <c r="AN7" s="275">
        <f t="shared" ref="AN7:AN17" si="16">IF($C7="","",IF(AND(AU7&gt;6,AW7&gt;6,AX7&gt;6),1,0))</f>
        <v>0</v>
      </c>
      <c r="AO7" s="275">
        <f t="shared" ref="AO7:AO17" si="17">IF($C7="","",IF(AND(AW7&gt;7,OR(AU7&gt;6,AX7&gt;6)),1,0))</f>
        <v>0</v>
      </c>
      <c r="AP7" s="275">
        <f t="shared" ref="AP7:AP17" si="18">IF($C7="","",IF(AND(AW7&gt;6,OR(AU7&gt;6,AX7&gt;6)),1,0))</f>
        <v>1</v>
      </c>
      <c r="AQ7" s="275">
        <f t="shared" ref="AQ7:AQ17" si="19">IF($C7="","",IF(AND(OR(AU7&gt;6,AW7&gt;6),OR(AU7&gt;6,AX7&gt;6)),1,0))</f>
        <v>1</v>
      </c>
      <c r="AR7" s="275">
        <f t="shared" ref="AR7:AR17" si="20">IF($C7="","",IF(AND(AU7&gt;4,OR(AU7&gt;6,AW7&gt;6,AX7&gt;6)),1,0))</f>
        <v>1</v>
      </c>
      <c r="AS7" s="275">
        <f t="shared" ref="AS7:AS17" si="21">IF($C7="","",IF(AND(AU7&gt;4,OR(AU7&gt;6,AV7&gt;6,AW7&gt;6,AX7&gt;6)),1,0))</f>
        <v>1</v>
      </c>
      <c r="AT7" s="276">
        <f t="shared" ref="AT7:AT17" si="22">IF($C7="","",IF(AND(AU7&gt;4,MAX(AU7:AY7)&gt;6),1,0))</f>
        <v>1</v>
      </c>
      <c r="AU7" s="58">
        <f>IF($C7="","",VLOOKUP($C7,CTBat!$G$10:$BR$203,AU$4,FALSE))</f>
        <v>6</v>
      </c>
      <c r="AV7" s="37">
        <f>IF($C7="","",VLOOKUP($C7,CTBat!$G$10:$BR$203,AV$4,FALSE))</f>
        <v>5</v>
      </c>
      <c r="AW7" s="37">
        <f>IF($C7="","",VLOOKUP($C7,CTBat!$G$10:$BR$203,AW$4,FALSE))</f>
        <v>7</v>
      </c>
      <c r="AX7" s="37">
        <f>IF($C7="","",VLOOKUP($C7,CTBat!$G$10:$BR$203,AX$4,FALSE))</f>
        <v>8</v>
      </c>
      <c r="AY7" s="38">
        <f>IF($C7="","",VLOOKUP($C7,CTBat!$G$10:$BR$203,AY$4,FALSE))</f>
        <v>3</v>
      </c>
      <c r="AZ7" s="67">
        <f t="shared" ref="AZ7:AZ17" si="23">IF($C7="","",(5*AU7+4*AW7+3*AX7+2*AV7+1*AY7+0.5*(AVERAGE(AU7:AV7))+0.5*AVERAGE(AU7,AY7)+1*(AVERAGE(AU7,AW7))+1*AVERAGE(AU7,AX7))/(5+4+3+2+1+0.5+0.5+1+1))</f>
        <v>6.3055555555555554</v>
      </c>
    </row>
    <row r="8" spans="1:52">
      <c r="A8">
        <v>3</v>
      </c>
      <c r="B8" s="36" t="s">
        <v>99</v>
      </c>
      <c r="C8" s="37"/>
      <c r="D8" s="37" t="str">
        <f>IF($C8="","",VLOOKUP($C8,CTBat!$G$10:$BR$203,D$4,FALSE))</f>
        <v/>
      </c>
      <c r="E8" s="37" t="str">
        <f>IF($C8="","",VLOOKUP($C8,CTBat!$G$10:$BR$203,E$4,FALSE))</f>
        <v/>
      </c>
      <c r="F8" s="53" t="str">
        <f t="shared" si="3"/>
        <v/>
      </c>
      <c r="G8" s="275" t="str">
        <f t="shared" si="4"/>
        <v/>
      </c>
      <c r="H8" s="275" t="str">
        <f t="shared" si="5"/>
        <v/>
      </c>
      <c r="I8" s="275" t="str">
        <f t="shared" si="0"/>
        <v/>
      </c>
      <c r="J8" s="58" t="str">
        <f>IF($C8="","",VLOOKUP($C8,CTBat!$G$10:$BR$203,J$4,FALSE))</f>
        <v/>
      </c>
      <c r="K8" s="37" t="str">
        <f>IF($C8="","",VLOOKUP($C8,CTBat!$G$10:$BR$203,K$4,FALSE))</f>
        <v/>
      </c>
      <c r="L8" s="38" t="str">
        <f>IF($C8="","",VLOOKUP($C8,CTBat!$G$10:$BR$203,L$4,FALSE))</f>
        <v/>
      </c>
      <c r="M8" s="37" t="str">
        <f>IF($C8="","",VLOOKUP($C8,CTBat!$G$10:$BR$203,M$4,FALSE))</f>
        <v/>
      </c>
      <c r="N8" s="37" t="str">
        <f>IF($C8="","",VLOOKUP($C8,CTBat!$G$10:$BR$203,N$4,FALSE))</f>
        <v/>
      </c>
      <c r="O8" s="37" t="str">
        <f>IF($C8="","",VLOOKUP($C8,CTBat!$G$10:$BR$203,O$4,FALSE))</f>
        <v/>
      </c>
      <c r="P8" s="37" t="str">
        <f>IF($C8="","",VLOOKUP($C8,CTBat!$G$10:$BR$203,P$4,FALSE))</f>
        <v/>
      </c>
      <c r="Q8" s="37" t="str">
        <f>IF($C8="","",VLOOKUP($C8,CTBat!$G$10:$BR$203,Q$4,FALSE))</f>
        <v/>
      </c>
      <c r="R8" s="37" t="str">
        <f>IF($C8="","",VLOOKUP($C8,CTBat!$G$10:$BR$203,R$4,FALSE))</f>
        <v/>
      </c>
      <c r="S8" s="37" t="str">
        <f>IF($C8="","",VLOOKUP($C8,CTBat!$G$10:$BR$203,S$4,FALSE))</f>
        <v/>
      </c>
      <c r="T8" s="38" t="str">
        <f>IF($C8="","",VLOOKUP($C8,CTBat!$G$10:$BR$203,T$4,FALSE))</f>
        <v/>
      </c>
      <c r="U8" s="53" t="str">
        <f t="shared" si="1"/>
        <v/>
      </c>
      <c r="V8" s="275" t="str">
        <f t="shared" si="2"/>
        <v/>
      </c>
      <c r="W8" s="275" t="str">
        <f t="shared" si="6"/>
        <v/>
      </c>
      <c r="X8" s="275" t="str">
        <f t="shared" si="7"/>
        <v/>
      </c>
      <c r="Y8" s="275" t="str">
        <f t="shared" si="8"/>
        <v/>
      </c>
      <c r="Z8" s="275" t="str">
        <f t="shared" si="9"/>
        <v/>
      </c>
      <c r="AA8" s="275" t="str">
        <f t="shared" si="10"/>
        <v/>
      </c>
      <c r="AB8" s="275" t="str">
        <f t="shared" si="11"/>
        <v/>
      </c>
      <c r="AC8" s="276" t="str">
        <f t="shared" si="12"/>
        <v/>
      </c>
      <c r="AD8" s="37" t="str">
        <f>IF($C8="","",VLOOKUP($C8,CTBat!$G$10:$BR$203,AD$4,FALSE))</f>
        <v/>
      </c>
      <c r="AE8" s="37" t="str">
        <f>IF($C8="","",VLOOKUP($C8,CTBat!$G$10:$BR$203,AE$4,FALSE))</f>
        <v/>
      </c>
      <c r="AF8" s="37" t="str">
        <f>IF($C8="","",VLOOKUP($C8,CTBat!$G$10:$BR$203,AF$4,FALSE))</f>
        <v/>
      </c>
      <c r="AG8" s="37" t="str">
        <f>IF($C8="","",VLOOKUP($C8,CTBat!$G$10:$BR$203,AG$4,FALSE))</f>
        <v/>
      </c>
      <c r="AH8" s="37" t="str">
        <f>IF($C8="","",VLOOKUP($C8,CTBat!$G$10:$BR$203,AH$4,FALSE))</f>
        <v/>
      </c>
      <c r="AI8" s="58" t="str">
        <f>IF($C8="","",VLOOKUP($C8,CTBat!$G$10:$BR$203,AI$4,FALSE))</f>
        <v/>
      </c>
      <c r="AJ8" s="38" t="str">
        <f>IF($C8="","",VLOOKUP($C8,CTBat!$G$10:$BR$203,AJ$4,FALSE))</f>
        <v/>
      </c>
      <c r="AK8" s="67" t="str">
        <f t="shared" si="13"/>
        <v/>
      </c>
      <c r="AL8" s="53" t="str">
        <f t="shared" si="14"/>
        <v/>
      </c>
      <c r="AM8" s="275" t="str">
        <f t="shared" si="15"/>
        <v/>
      </c>
      <c r="AN8" s="275" t="str">
        <f t="shared" si="16"/>
        <v/>
      </c>
      <c r="AO8" s="275" t="str">
        <f t="shared" si="17"/>
        <v/>
      </c>
      <c r="AP8" s="275" t="str">
        <f t="shared" si="18"/>
        <v/>
      </c>
      <c r="AQ8" s="275" t="str">
        <f t="shared" si="19"/>
        <v/>
      </c>
      <c r="AR8" s="275" t="str">
        <f t="shared" si="20"/>
        <v/>
      </c>
      <c r="AS8" s="275" t="str">
        <f t="shared" si="21"/>
        <v/>
      </c>
      <c r="AT8" s="276" t="str">
        <f t="shared" si="22"/>
        <v/>
      </c>
      <c r="AU8" s="58" t="str">
        <f>IF($C8="","",VLOOKUP($C8,CTBat!$G$10:$BR$203,AU$4,FALSE))</f>
        <v/>
      </c>
      <c r="AV8" s="37" t="str">
        <f>IF($C8="","",VLOOKUP($C8,CTBat!$G$10:$BR$203,AV$4,FALSE))</f>
        <v/>
      </c>
      <c r="AW8" s="37" t="str">
        <f>IF($C8="","",VLOOKUP($C8,CTBat!$G$10:$BR$203,AW$4,FALSE))</f>
        <v/>
      </c>
      <c r="AX8" s="37" t="str">
        <f>IF($C8="","",VLOOKUP($C8,CTBat!$G$10:$BR$203,AX$4,FALSE))</f>
        <v/>
      </c>
      <c r="AY8" s="38" t="str">
        <f>IF($C8="","",VLOOKUP($C8,CTBat!$G$10:$BR$203,AY$4,FALSE))</f>
        <v/>
      </c>
      <c r="AZ8" s="67" t="str">
        <f t="shared" si="23"/>
        <v/>
      </c>
    </row>
    <row r="9" spans="1:52">
      <c r="A9">
        <v>4</v>
      </c>
      <c r="B9" s="36" t="s">
        <v>100</v>
      </c>
      <c r="C9" s="37" t="s">
        <v>241</v>
      </c>
      <c r="D9" s="37">
        <f>IF($C9="","",VLOOKUP($C9,CTBat!$G$10:$BR$203,D$4,FALSE))</f>
        <v>23</v>
      </c>
      <c r="E9" s="37" t="str">
        <f>IF($C9="","",VLOOKUP($C9,CTBat!$G$10:$BR$203,E$4,FALSE))</f>
        <v>R</v>
      </c>
      <c r="F9" s="53">
        <f t="shared" si="3"/>
        <v>0</v>
      </c>
      <c r="G9" s="275">
        <f t="shared" si="4"/>
        <v>0</v>
      </c>
      <c r="H9" s="275">
        <f t="shared" si="5"/>
        <v>0</v>
      </c>
      <c r="I9" s="275">
        <f t="shared" si="0"/>
        <v>0</v>
      </c>
      <c r="J9" s="58">
        <f>IF($C9="","",VLOOKUP($C9,CTBat!$G$10:$BR$203,J$4,FALSE))</f>
        <v>1</v>
      </c>
      <c r="K9" s="37">
        <f>IF($C9="","",VLOOKUP($C9,CTBat!$G$10:$BR$203,K$4,FALSE))</f>
        <v>1</v>
      </c>
      <c r="L9" s="38">
        <f>IF($C9="","",VLOOKUP($C9,CTBat!$G$10:$BR$203,L$4,FALSE))</f>
        <v>6</v>
      </c>
      <c r="M9" s="37" t="str">
        <f>IF($C9="","",VLOOKUP($C9,CTBat!$G$10:$BR$203,M$4,FALSE))</f>
        <v>-</v>
      </c>
      <c r="N9" s="37">
        <f>IF($C9="","",VLOOKUP($C9,CTBat!$G$10:$BR$203,N$4,FALSE))</f>
        <v>1</v>
      </c>
      <c r="O9" s="37" t="str">
        <f>IF($C9="","",VLOOKUP($C9,CTBat!$G$10:$BR$203,O$4,FALSE))</f>
        <v>-</v>
      </c>
      <c r="P9" s="37" t="str">
        <f>IF($C9="","",VLOOKUP($C9,CTBat!$G$10:$BR$203,P$4,FALSE))</f>
        <v>-</v>
      </c>
      <c r="Q9" s="37" t="str">
        <f>IF($C9="","",VLOOKUP($C9,CTBat!$G$10:$BR$203,Q$4,FALSE))</f>
        <v>-</v>
      </c>
      <c r="R9" s="37">
        <f>IF($C9="","",VLOOKUP($C9,CTBat!$G$10:$BR$203,R$4,FALSE))</f>
        <v>3</v>
      </c>
      <c r="S9" s="37">
        <f>IF($C9="","",VLOOKUP($C9,CTBat!$G$10:$BR$203,S$4,FALSE))</f>
        <v>1</v>
      </c>
      <c r="T9" s="38">
        <f>IF($C9="","",VLOOKUP($C9,CTBat!$G$10:$BR$203,T$4,FALSE))</f>
        <v>4</v>
      </c>
      <c r="U9" s="53">
        <f t="shared" si="1"/>
        <v>0</v>
      </c>
      <c r="V9" s="275">
        <f t="shared" si="2"/>
        <v>0</v>
      </c>
      <c r="W9" s="275">
        <f t="shared" si="6"/>
        <v>0</v>
      </c>
      <c r="X9" s="275">
        <f t="shared" si="7"/>
        <v>0</v>
      </c>
      <c r="Y9" s="275">
        <f t="shared" si="8"/>
        <v>0</v>
      </c>
      <c r="Z9" s="275">
        <f t="shared" si="9"/>
        <v>0</v>
      </c>
      <c r="AA9" s="275">
        <f t="shared" si="10"/>
        <v>0</v>
      </c>
      <c r="AB9" s="275">
        <f t="shared" si="11"/>
        <v>0</v>
      </c>
      <c r="AC9" s="276">
        <f t="shared" si="12"/>
        <v>1</v>
      </c>
      <c r="AD9" s="37">
        <f>IF($C9="","",VLOOKUP($C9,CTBat!$G$10:$BR$203,AD$4,FALSE))</f>
        <v>6</v>
      </c>
      <c r="AE9" s="37">
        <f>IF($C9="","",VLOOKUP($C9,CTBat!$G$10:$BR$203,AE$4,FALSE))</f>
        <v>5</v>
      </c>
      <c r="AF9" s="37">
        <f>IF($C9="","",VLOOKUP($C9,CTBat!$G$10:$BR$203,AF$4,FALSE))</f>
        <v>4</v>
      </c>
      <c r="AG9" s="37">
        <f>IF($C9="","",VLOOKUP($C9,CTBat!$G$10:$BR$203,AG$4,FALSE))</f>
        <v>5</v>
      </c>
      <c r="AH9" s="37">
        <f>IF($C9="","",VLOOKUP($C9,CTBat!$G$10:$BR$203,AH$4,FALSE))</f>
        <v>7</v>
      </c>
      <c r="AI9" s="58">
        <f>IF($C9="","",VLOOKUP($C9,CTBat!$G$10:$BR$203,AI$4,FALSE))</f>
        <v>4</v>
      </c>
      <c r="AJ9" s="38">
        <f>IF($C9="","",VLOOKUP($C9,CTBat!$G$10:$BR$203,AJ$4,FALSE))</f>
        <v>4</v>
      </c>
      <c r="AK9" s="67">
        <f t="shared" si="13"/>
        <v>5.25</v>
      </c>
      <c r="AL9" s="53">
        <f t="shared" si="14"/>
        <v>0</v>
      </c>
      <c r="AM9" s="275">
        <f t="shared" si="15"/>
        <v>1</v>
      </c>
      <c r="AN9" s="275">
        <f t="shared" si="16"/>
        <v>0</v>
      </c>
      <c r="AO9" s="275">
        <f t="shared" si="17"/>
        <v>0</v>
      </c>
      <c r="AP9" s="275">
        <f t="shared" si="18"/>
        <v>0</v>
      </c>
      <c r="AQ9" s="275">
        <f t="shared" si="19"/>
        <v>1</v>
      </c>
      <c r="AR9" s="275">
        <f t="shared" si="20"/>
        <v>1</v>
      </c>
      <c r="AS9" s="275">
        <f t="shared" si="21"/>
        <v>1</v>
      </c>
      <c r="AT9" s="276">
        <f t="shared" si="22"/>
        <v>1</v>
      </c>
      <c r="AU9" s="58">
        <f>IF($C9="","",VLOOKUP($C9,CTBat!$G$10:$BR$203,AU$4,FALSE))</f>
        <v>7</v>
      </c>
      <c r="AV9" s="37">
        <f>IF($C9="","",VLOOKUP($C9,CTBat!$G$10:$BR$203,AV$4,FALSE))</f>
        <v>5</v>
      </c>
      <c r="AW9" s="37">
        <f>IF($C9="","",VLOOKUP($C9,CTBat!$G$10:$BR$203,AW$4,FALSE))</f>
        <v>4</v>
      </c>
      <c r="AX9" s="37">
        <f>IF($C9="","",VLOOKUP($C9,CTBat!$G$10:$BR$203,AX$4,FALSE))</f>
        <v>6</v>
      </c>
      <c r="AY9" s="38">
        <f>IF($C9="","",VLOOKUP($C9,CTBat!$G$10:$BR$203,AY$4,FALSE))</f>
        <v>7</v>
      </c>
      <c r="AZ9" s="67">
        <f t="shared" si="23"/>
        <v>5.8055555555555554</v>
      </c>
    </row>
    <row r="10" spans="1:52">
      <c r="A10">
        <v>5</v>
      </c>
      <c r="B10" s="36" t="s">
        <v>18</v>
      </c>
      <c r="C10" s="65" t="s">
        <v>383</v>
      </c>
      <c r="D10" s="37">
        <f>IF($C10="","",VLOOKUP($C10,CTBat!$G$10:$BR$203,D$4,FALSE))</f>
        <v>21</v>
      </c>
      <c r="E10" s="37" t="str">
        <f>IF($C10="","",VLOOKUP($C10,CTBat!$G$10:$BR$203,E$4,FALSE))</f>
        <v>L</v>
      </c>
      <c r="F10" s="53">
        <f t="shared" si="3"/>
        <v>1</v>
      </c>
      <c r="G10" s="275">
        <f t="shared" si="4"/>
        <v>1</v>
      </c>
      <c r="H10" s="275">
        <f t="shared" si="5"/>
        <v>0</v>
      </c>
      <c r="I10" s="275">
        <f t="shared" si="0"/>
        <v>0</v>
      </c>
      <c r="J10" s="58">
        <f>IF($C10="","",VLOOKUP($C10,CTBat!$G$10:$BR$203,J$4,FALSE))</f>
        <v>1</v>
      </c>
      <c r="K10" s="37">
        <f>IF($C10="","",VLOOKUP($C10,CTBat!$G$10:$BR$203,K$4,FALSE))</f>
        <v>3</v>
      </c>
      <c r="L10" s="38">
        <f>IF($C10="","",VLOOKUP($C10,CTBat!$G$10:$BR$203,L$4,FALSE))</f>
        <v>3</v>
      </c>
      <c r="M10" s="37" t="str">
        <f>IF($C10="","",VLOOKUP($C10,CTBat!$G$10:$BR$203,M$4,FALSE))</f>
        <v>-</v>
      </c>
      <c r="N10" s="37">
        <f>IF($C10="","",VLOOKUP($C10,CTBat!$G$10:$BR$203,N$4,FALSE))</f>
        <v>2</v>
      </c>
      <c r="O10" s="37" t="str">
        <f>IF($C10="","",VLOOKUP($C10,CTBat!$G$10:$BR$203,O$4,FALSE))</f>
        <v>-</v>
      </c>
      <c r="P10" s="37" t="str">
        <f>IF($C10="","",VLOOKUP($C10,CTBat!$G$10:$BR$203,P$4,FALSE))</f>
        <v>-</v>
      </c>
      <c r="Q10" s="37" t="str">
        <f>IF($C10="","",VLOOKUP($C10,CTBat!$G$10:$BR$203,Q$4,FALSE))</f>
        <v>-</v>
      </c>
      <c r="R10" s="37" t="str">
        <f>IF($C10="","",VLOOKUP($C10,CTBat!$G$10:$BR$203,R$4,FALSE))</f>
        <v>-</v>
      </c>
      <c r="S10" s="37" t="str">
        <f>IF($C10="","",VLOOKUP($C10,CTBat!$G$10:$BR$203,S$4,FALSE))</f>
        <v>-</v>
      </c>
      <c r="T10" s="38" t="str">
        <f>IF($C10="","",VLOOKUP($C10,CTBat!$G$10:$BR$203,T$4,FALSE))</f>
        <v>-</v>
      </c>
      <c r="U10" s="53">
        <f t="shared" si="1"/>
        <v>0</v>
      </c>
      <c r="V10" s="275">
        <f t="shared" si="2"/>
        <v>0</v>
      </c>
      <c r="W10" s="275">
        <f t="shared" si="6"/>
        <v>0</v>
      </c>
      <c r="X10" s="275">
        <f t="shared" si="7"/>
        <v>0</v>
      </c>
      <c r="Y10" s="275">
        <f t="shared" si="8"/>
        <v>0</v>
      </c>
      <c r="Z10" s="275">
        <f t="shared" si="9"/>
        <v>1</v>
      </c>
      <c r="AA10" s="275">
        <f t="shared" si="10"/>
        <v>1</v>
      </c>
      <c r="AB10" s="275">
        <f t="shared" si="11"/>
        <v>1</v>
      </c>
      <c r="AC10" s="276">
        <f t="shared" si="12"/>
        <v>1</v>
      </c>
      <c r="AD10" s="37">
        <f>IF($C10="","",VLOOKUP($C10,CTBat!$G$10:$BR$203,AD$4,FALSE))</f>
        <v>7</v>
      </c>
      <c r="AE10" s="37">
        <f>IF($C10="","",VLOOKUP($C10,CTBat!$G$10:$BR$203,AE$4,FALSE))</f>
        <v>7</v>
      </c>
      <c r="AF10" s="37">
        <f>IF($C10="","",VLOOKUP($C10,CTBat!$G$10:$BR$203,AF$4,FALSE))</f>
        <v>2</v>
      </c>
      <c r="AG10" s="37">
        <f>IF($C10="","",VLOOKUP($C10,CTBat!$G$10:$BR$203,AG$4,FALSE))</f>
        <v>4</v>
      </c>
      <c r="AH10" s="37">
        <f>IF($C10="","",VLOOKUP($C10,CTBat!$G$10:$BR$203,AH$4,FALSE))</f>
        <v>5</v>
      </c>
      <c r="AI10" s="58">
        <f>IF($C10="","",VLOOKUP($C10,CTBat!$G$10:$BR$203,AI$4,FALSE))</f>
        <v>3</v>
      </c>
      <c r="AJ10" s="38">
        <f>IF($C10="","",VLOOKUP($C10,CTBat!$G$10:$BR$203,AJ$4,FALSE))</f>
        <v>3</v>
      </c>
      <c r="AK10" s="67">
        <f t="shared" si="13"/>
        <v>5.0277777777777777</v>
      </c>
      <c r="AL10" s="53">
        <f t="shared" si="14"/>
        <v>0</v>
      </c>
      <c r="AM10" s="275">
        <f t="shared" si="15"/>
        <v>1</v>
      </c>
      <c r="AN10" s="275">
        <f t="shared" si="16"/>
        <v>0</v>
      </c>
      <c r="AO10" s="275">
        <f t="shared" si="17"/>
        <v>0</v>
      </c>
      <c r="AP10" s="275">
        <f t="shared" si="18"/>
        <v>0</v>
      </c>
      <c r="AQ10" s="275">
        <f t="shared" si="19"/>
        <v>1</v>
      </c>
      <c r="AR10" s="275">
        <f t="shared" si="20"/>
        <v>1</v>
      </c>
      <c r="AS10" s="275">
        <f t="shared" si="21"/>
        <v>1</v>
      </c>
      <c r="AT10" s="276">
        <f t="shared" si="22"/>
        <v>1</v>
      </c>
      <c r="AU10" s="58">
        <f>IF($C10="","",VLOOKUP($C10,CTBat!$G$10:$BR$203,AU$4,FALSE))</f>
        <v>9</v>
      </c>
      <c r="AV10" s="37">
        <f>IF($C10="","",VLOOKUP($C10,CTBat!$G$10:$BR$203,AV$4,FALSE))</f>
        <v>7</v>
      </c>
      <c r="AW10" s="37">
        <f>IF($C10="","",VLOOKUP($C10,CTBat!$G$10:$BR$203,AW$4,FALSE))</f>
        <v>4</v>
      </c>
      <c r="AX10" s="37">
        <f>IF($C10="","",VLOOKUP($C10,CTBat!$G$10:$BR$203,AX$4,FALSE))</f>
        <v>6</v>
      </c>
      <c r="AY10" s="38">
        <f>IF($C10="","",VLOOKUP($C10,CTBat!$G$10:$BR$203,AY$4,FALSE))</f>
        <v>7</v>
      </c>
      <c r="AZ10" s="67">
        <f t="shared" si="23"/>
        <v>6.7777777777777777</v>
      </c>
    </row>
    <row r="11" spans="1:52">
      <c r="A11">
        <v>6</v>
      </c>
      <c r="B11" s="36" t="s">
        <v>101</v>
      </c>
      <c r="C11" s="65"/>
      <c r="D11" s="37" t="str">
        <f>IF($C11="","",VLOOKUP($C11,CTBat!$G$10:$BR$203,D$4,FALSE))</f>
        <v/>
      </c>
      <c r="E11" s="37" t="str">
        <f>IF($C11="","",VLOOKUP($C11,CTBat!$G$10:$BR$203,E$4,FALSE))</f>
        <v/>
      </c>
      <c r="F11" s="53" t="str">
        <f t="shared" si="3"/>
        <v/>
      </c>
      <c r="G11" s="275" t="str">
        <f t="shared" si="4"/>
        <v/>
      </c>
      <c r="H11" s="275" t="str">
        <f t="shared" si="5"/>
        <v/>
      </c>
      <c r="I11" s="275" t="str">
        <f>IF($C11="","",IF(AND(S11&gt;4,S11&lt;&gt;"-"),1,0))</f>
        <v/>
      </c>
      <c r="J11" s="58" t="str">
        <f>IF($C11="","",VLOOKUP($C11,CTBat!$G$10:$BR$203,J$4,FALSE))</f>
        <v/>
      </c>
      <c r="K11" s="37" t="str">
        <f>IF($C11="","",VLOOKUP($C11,CTBat!$G$10:$BR$203,K$4,FALSE))</f>
        <v/>
      </c>
      <c r="L11" s="38" t="str">
        <f>IF($C11="","",VLOOKUP($C11,CTBat!$G$10:$BR$203,L$4,FALSE))</f>
        <v/>
      </c>
      <c r="M11" s="37" t="str">
        <f>IF($C11="","",VLOOKUP($C11,CTBat!$G$10:$BR$203,M$4,FALSE))</f>
        <v/>
      </c>
      <c r="N11" s="37" t="str">
        <f>IF($C11="","",VLOOKUP($C11,CTBat!$G$10:$BR$203,N$4,FALSE))</f>
        <v/>
      </c>
      <c r="O11" s="37" t="str">
        <f>IF($C11="","",VLOOKUP($C11,CTBat!$G$10:$BR$203,O$4,FALSE))</f>
        <v/>
      </c>
      <c r="P11" s="37" t="str">
        <f>IF($C11="","",VLOOKUP($C11,CTBat!$G$10:$BR$203,P$4,FALSE))</f>
        <v/>
      </c>
      <c r="Q11" s="37" t="str">
        <f>IF($C11="","",VLOOKUP($C11,CTBat!$G$10:$BR$203,Q$4,FALSE))</f>
        <v/>
      </c>
      <c r="R11" s="37" t="str">
        <f>IF($C11="","",VLOOKUP($C11,CTBat!$G$10:$BR$203,R$4,FALSE))</f>
        <v/>
      </c>
      <c r="S11" s="37" t="str">
        <f>IF($C11="","",VLOOKUP($C11,CTBat!$G$10:$BR$203,S$4,FALSE))</f>
        <v/>
      </c>
      <c r="T11" s="38" t="str">
        <f>IF($C11="","",VLOOKUP($C11,CTBat!$G$10:$BR$203,T$4,FALSE))</f>
        <v/>
      </c>
      <c r="U11" s="53" t="str">
        <f t="shared" si="1"/>
        <v/>
      </c>
      <c r="V11" s="275" t="str">
        <f t="shared" si="2"/>
        <v/>
      </c>
      <c r="W11" s="275" t="str">
        <f t="shared" si="6"/>
        <v/>
      </c>
      <c r="X11" s="275" t="str">
        <f t="shared" si="7"/>
        <v/>
      </c>
      <c r="Y11" s="275" t="str">
        <f t="shared" si="8"/>
        <v/>
      </c>
      <c r="Z11" s="275" t="str">
        <f t="shared" si="9"/>
        <v/>
      </c>
      <c r="AA11" s="275" t="str">
        <f t="shared" si="10"/>
        <v/>
      </c>
      <c r="AB11" s="275" t="str">
        <f t="shared" si="11"/>
        <v/>
      </c>
      <c r="AC11" s="276" t="str">
        <f t="shared" si="12"/>
        <v/>
      </c>
      <c r="AD11" s="37" t="str">
        <f>IF($C11="","",VLOOKUP($C11,CTBat!$G$10:$BR$203,AD$4,FALSE))</f>
        <v/>
      </c>
      <c r="AE11" s="37" t="str">
        <f>IF($C11="","",VLOOKUP($C11,CTBat!$G$10:$BR$203,AE$4,FALSE))</f>
        <v/>
      </c>
      <c r="AF11" s="37" t="str">
        <f>IF($C11="","",VLOOKUP($C11,CTBat!$G$10:$BR$203,AF$4,FALSE))</f>
        <v/>
      </c>
      <c r="AG11" s="37" t="str">
        <f>IF($C11="","",VLOOKUP($C11,CTBat!$G$10:$BR$203,AG$4,FALSE))</f>
        <v/>
      </c>
      <c r="AH11" s="37" t="str">
        <f>IF($C11="","",VLOOKUP($C11,CTBat!$G$10:$BR$203,AH$4,FALSE))</f>
        <v/>
      </c>
      <c r="AI11" s="58" t="str">
        <f>IF($C11="","",VLOOKUP($C11,CTBat!$G$10:$BR$203,AI$4,FALSE))</f>
        <v/>
      </c>
      <c r="AJ11" s="38" t="str">
        <f>IF($C11="","",VLOOKUP($C11,CTBat!$G$10:$BR$203,AJ$4,FALSE))</f>
        <v/>
      </c>
      <c r="AK11" s="67" t="str">
        <f t="shared" si="13"/>
        <v/>
      </c>
      <c r="AL11" s="53" t="str">
        <f t="shared" si="14"/>
        <v/>
      </c>
      <c r="AM11" s="275" t="str">
        <f t="shared" si="15"/>
        <v/>
      </c>
      <c r="AN11" s="275" t="str">
        <f t="shared" si="16"/>
        <v/>
      </c>
      <c r="AO11" s="275" t="str">
        <f t="shared" si="17"/>
        <v/>
      </c>
      <c r="AP11" s="275" t="str">
        <f t="shared" si="18"/>
        <v/>
      </c>
      <c r="AQ11" s="275" t="str">
        <f t="shared" si="19"/>
        <v/>
      </c>
      <c r="AR11" s="275" t="str">
        <f t="shared" si="20"/>
        <v/>
      </c>
      <c r="AS11" s="275" t="str">
        <f t="shared" si="21"/>
        <v/>
      </c>
      <c r="AT11" s="276" t="str">
        <f t="shared" si="22"/>
        <v/>
      </c>
      <c r="AU11" s="58" t="str">
        <f>IF($C11="","",VLOOKUP($C11,CTBat!$G$10:$BR$203,AU$4,FALSE))</f>
        <v/>
      </c>
      <c r="AV11" s="37" t="str">
        <f>IF($C11="","",VLOOKUP($C11,CTBat!$G$10:$BR$203,AV$4,FALSE))</f>
        <v/>
      </c>
      <c r="AW11" s="37" t="str">
        <f>IF($C11="","",VLOOKUP($C11,CTBat!$G$10:$BR$203,AW$4,FALSE))</f>
        <v/>
      </c>
      <c r="AX11" s="37" t="str">
        <f>IF($C11="","",VLOOKUP($C11,CTBat!$G$10:$BR$203,AX$4,FALSE))</f>
        <v/>
      </c>
      <c r="AY11" s="38" t="str">
        <f>IF($C11="","",VLOOKUP($C11,CTBat!$G$10:$BR$203,AY$4,FALSE))</f>
        <v/>
      </c>
      <c r="AZ11" s="67" t="str">
        <f t="shared" si="23"/>
        <v/>
      </c>
    </row>
    <row r="12" spans="1:52">
      <c r="A12">
        <v>7</v>
      </c>
      <c r="B12" s="36" t="s">
        <v>101</v>
      </c>
      <c r="C12" s="65"/>
      <c r="D12" s="37" t="str">
        <f>IF($C12="","",VLOOKUP($C12,CTBat!$G$10:$BR$203,D$4,FALSE))</f>
        <v/>
      </c>
      <c r="E12" s="37" t="str">
        <f>IF($C12="","",VLOOKUP($C12,CTBat!$G$10:$BR$203,E$4,FALSE))</f>
        <v/>
      </c>
      <c r="F12" s="53" t="str">
        <f t="shared" si="3"/>
        <v/>
      </c>
      <c r="G12" s="275" t="str">
        <f t="shared" si="4"/>
        <v/>
      </c>
      <c r="H12" s="275" t="str">
        <f t="shared" si="5"/>
        <v/>
      </c>
      <c r="I12" s="275" t="str">
        <f t="shared" ref="I12:I17" si="24">IF($C12="","",IF(AND(S12&gt;4,S12&lt;&gt;"-"),1,0))</f>
        <v/>
      </c>
      <c r="J12" s="58" t="str">
        <f>IF($C12="","",VLOOKUP($C12,CTBat!$G$10:$BR$203,J$4,FALSE))</f>
        <v/>
      </c>
      <c r="K12" s="37" t="str">
        <f>IF($C12="","",VLOOKUP($C12,CTBat!$G$10:$BR$203,K$4,FALSE))</f>
        <v/>
      </c>
      <c r="L12" s="38" t="str">
        <f>IF($C12="","",VLOOKUP($C12,CTBat!$G$10:$BR$203,L$4,FALSE))</f>
        <v/>
      </c>
      <c r="M12" s="37" t="str">
        <f>IF($C12="","",VLOOKUP($C12,CTBat!$G$10:$BR$203,M$4,FALSE))</f>
        <v/>
      </c>
      <c r="N12" s="37" t="str">
        <f>IF($C12="","",VLOOKUP($C12,CTBat!$G$10:$BR$203,N$4,FALSE))</f>
        <v/>
      </c>
      <c r="O12" s="37" t="str">
        <f>IF($C12="","",VLOOKUP($C12,CTBat!$G$10:$BR$203,O$4,FALSE))</f>
        <v/>
      </c>
      <c r="P12" s="37" t="str">
        <f>IF($C12="","",VLOOKUP($C12,CTBat!$G$10:$BR$203,P$4,FALSE))</f>
        <v/>
      </c>
      <c r="Q12" s="37" t="str">
        <f>IF($C12="","",VLOOKUP($C12,CTBat!$G$10:$BR$203,Q$4,FALSE))</f>
        <v/>
      </c>
      <c r="R12" s="37" t="str">
        <f>IF($C12="","",VLOOKUP($C12,CTBat!$G$10:$BR$203,R$4,FALSE))</f>
        <v/>
      </c>
      <c r="S12" s="37" t="str">
        <f>IF($C12="","",VLOOKUP($C12,CTBat!$G$10:$BR$203,S$4,FALSE))</f>
        <v/>
      </c>
      <c r="T12" s="38" t="str">
        <f>IF($C12="","",VLOOKUP($C12,CTBat!$G$10:$BR$203,T$4,FALSE))</f>
        <v/>
      </c>
      <c r="U12" s="53" t="str">
        <f t="shared" si="1"/>
        <v/>
      </c>
      <c r="V12" s="275" t="str">
        <f t="shared" si="2"/>
        <v/>
      </c>
      <c r="W12" s="275" t="str">
        <f t="shared" si="6"/>
        <v/>
      </c>
      <c r="X12" s="275" t="str">
        <f t="shared" si="7"/>
        <v/>
      </c>
      <c r="Y12" s="275" t="str">
        <f t="shared" si="8"/>
        <v/>
      </c>
      <c r="Z12" s="275" t="str">
        <f t="shared" si="9"/>
        <v/>
      </c>
      <c r="AA12" s="275" t="str">
        <f t="shared" si="10"/>
        <v/>
      </c>
      <c r="AB12" s="275" t="str">
        <f t="shared" si="11"/>
        <v/>
      </c>
      <c r="AC12" s="276" t="str">
        <f t="shared" si="12"/>
        <v/>
      </c>
      <c r="AD12" s="37" t="str">
        <f>IF($C12="","",VLOOKUP($C12,CTBat!$G$10:$BR$203,AD$4,FALSE))</f>
        <v/>
      </c>
      <c r="AE12" s="37" t="str">
        <f>IF($C12="","",VLOOKUP($C12,CTBat!$G$10:$BR$203,AE$4,FALSE))</f>
        <v/>
      </c>
      <c r="AF12" s="37" t="str">
        <f>IF($C12="","",VLOOKUP($C12,CTBat!$G$10:$BR$203,AF$4,FALSE))</f>
        <v/>
      </c>
      <c r="AG12" s="37" t="str">
        <f>IF($C12="","",VLOOKUP($C12,CTBat!$G$10:$BR$203,AG$4,FALSE))</f>
        <v/>
      </c>
      <c r="AH12" s="37" t="str">
        <f>IF($C12="","",VLOOKUP($C12,CTBat!$G$10:$BR$203,AH$4,FALSE))</f>
        <v/>
      </c>
      <c r="AI12" s="58" t="str">
        <f>IF($C12="","",VLOOKUP($C12,CTBat!$G$10:$BR$203,AI$4,FALSE))</f>
        <v/>
      </c>
      <c r="AJ12" s="38" t="str">
        <f>IF($C12="","",VLOOKUP($C12,CTBat!$G$10:$BR$203,AJ$4,FALSE))</f>
        <v/>
      </c>
      <c r="AK12" s="67" t="str">
        <f t="shared" si="13"/>
        <v/>
      </c>
      <c r="AL12" s="53" t="str">
        <f t="shared" si="14"/>
        <v/>
      </c>
      <c r="AM12" s="275" t="str">
        <f t="shared" si="15"/>
        <v/>
      </c>
      <c r="AN12" s="275" t="str">
        <f t="shared" si="16"/>
        <v/>
      </c>
      <c r="AO12" s="275" t="str">
        <f t="shared" si="17"/>
        <v/>
      </c>
      <c r="AP12" s="275" t="str">
        <f t="shared" si="18"/>
        <v/>
      </c>
      <c r="AQ12" s="275" t="str">
        <f t="shared" si="19"/>
        <v/>
      </c>
      <c r="AR12" s="275" t="str">
        <f t="shared" si="20"/>
        <v/>
      </c>
      <c r="AS12" s="275" t="str">
        <f t="shared" si="21"/>
        <v/>
      </c>
      <c r="AT12" s="276" t="str">
        <f t="shared" si="22"/>
        <v/>
      </c>
      <c r="AU12" s="58" t="str">
        <f>IF($C12="","",VLOOKUP($C12,CTBat!$G$10:$BR$203,AU$4,FALSE))</f>
        <v/>
      </c>
      <c r="AV12" s="37" t="str">
        <f>IF($C12="","",VLOOKUP($C12,CTBat!$G$10:$BR$203,AV$4,FALSE))</f>
        <v/>
      </c>
      <c r="AW12" s="37" t="str">
        <f>IF($C12="","",VLOOKUP($C12,CTBat!$G$10:$BR$203,AW$4,FALSE))</f>
        <v/>
      </c>
      <c r="AX12" s="37" t="str">
        <f>IF($C12="","",VLOOKUP($C12,CTBat!$G$10:$BR$203,AX$4,FALSE))</f>
        <v/>
      </c>
      <c r="AY12" s="38" t="str">
        <f>IF($C12="","",VLOOKUP($C12,CTBat!$G$10:$BR$203,AY$4,FALSE))</f>
        <v/>
      </c>
      <c r="AZ12" s="67" t="str">
        <f t="shared" si="23"/>
        <v/>
      </c>
    </row>
    <row r="13" spans="1:52">
      <c r="A13">
        <v>8</v>
      </c>
      <c r="B13" s="36" t="s">
        <v>101</v>
      </c>
      <c r="C13" s="65"/>
      <c r="D13" s="37" t="str">
        <f>IF($C13="","",VLOOKUP($C13,CTBat!$G$10:$BR$203,D$4,FALSE))</f>
        <v/>
      </c>
      <c r="E13" s="37" t="str">
        <f>IF($C13="","",VLOOKUP($C13,CTBat!$G$10:$BR$203,E$4,FALSE))</f>
        <v/>
      </c>
      <c r="F13" s="53" t="str">
        <f t="shared" si="3"/>
        <v/>
      </c>
      <c r="G13" s="275" t="str">
        <f t="shared" si="4"/>
        <v/>
      </c>
      <c r="H13" s="275" t="str">
        <f t="shared" si="5"/>
        <v/>
      </c>
      <c r="I13" s="275" t="str">
        <f t="shared" si="24"/>
        <v/>
      </c>
      <c r="J13" s="58" t="str">
        <f>IF($C13="","",VLOOKUP($C13,CTBat!$G$10:$BR$203,J$4,FALSE))</f>
        <v/>
      </c>
      <c r="K13" s="37" t="str">
        <f>IF($C13="","",VLOOKUP($C13,CTBat!$G$10:$BR$203,K$4,FALSE))</f>
        <v/>
      </c>
      <c r="L13" s="38" t="str">
        <f>IF($C13="","",VLOOKUP($C13,CTBat!$G$10:$BR$203,L$4,FALSE))</f>
        <v/>
      </c>
      <c r="M13" s="37" t="str">
        <f>IF($C13="","",VLOOKUP($C13,CTBat!$G$10:$BR$203,M$4,FALSE))</f>
        <v/>
      </c>
      <c r="N13" s="37" t="str">
        <f>IF($C13="","",VLOOKUP($C13,CTBat!$G$10:$BR$203,N$4,FALSE))</f>
        <v/>
      </c>
      <c r="O13" s="37" t="str">
        <f>IF($C13="","",VLOOKUP($C13,CTBat!$G$10:$BR$203,O$4,FALSE))</f>
        <v/>
      </c>
      <c r="P13" s="37" t="str">
        <f>IF($C13="","",VLOOKUP($C13,CTBat!$G$10:$BR$203,P$4,FALSE))</f>
        <v/>
      </c>
      <c r="Q13" s="37" t="str">
        <f>IF($C13="","",VLOOKUP($C13,CTBat!$G$10:$BR$203,Q$4,FALSE))</f>
        <v/>
      </c>
      <c r="R13" s="37" t="str">
        <f>IF($C13="","",VLOOKUP($C13,CTBat!$G$10:$BR$203,R$4,FALSE))</f>
        <v/>
      </c>
      <c r="S13" s="37" t="str">
        <f>IF($C13="","",VLOOKUP($C13,CTBat!$G$10:$BR$203,S$4,FALSE))</f>
        <v/>
      </c>
      <c r="T13" s="38" t="str">
        <f>IF($C13="","",VLOOKUP($C13,CTBat!$G$10:$BR$203,T$4,FALSE))</f>
        <v/>
      </c>
      <c r="U13" s="53" t="str">
        <f t="shared" si="1"/>
        <v/>
      </c>
      <c r="V13" s="275" t="str">
        <f t="shared" si="2"/>
        <v/>
      </c>
      <c r="W13" s="275" t="str">
        <f t="shared" si="6"/>
        <v/>
      </c>
      <c r="X13" s="275" t="str">
        <f t="shared" si="7"/>
        <v/>
      </c>
      <c r="Y13" s="275" t="str">
        <f t="shared" si="8"/>
        <v/>
      </c>
      <c r="Z13" s="275" t="str">
        <f t="shared" si="9"/>
        <v/>
      </c>
      <c r="AA13" s="275" t="str">
        <f t="shared" si="10"/>
        <v/>
      </c>
      <c r="AB13" s="275" t="str">
        <f t="shared" si="11"/>
        <v/>
      </c>
      <c r="AC13" s="276" t="str">
        <f t="shared" si="12"/>
        <v/>
      </c>
      <c r="AD13" s="37" t="str">
        <f>IF($C13="","",VLOOKUP($C13,CTBat!$G$10:$BR$203,AD$4,FALSE))</f>
        <v/>
      </c>
      <c r="AE13" s="37" t="str">
        <f>IF($C13="","",VLOOKUP($C13,CTBat!$G$10:$BR$203,AE$4,FALSE))</f>
        <v/>
      </c>
      <c r="AF13" s="37" t="str">
        <f>IF($C13="","",VLOOKUP($C13,CTBat!$G$10:$BR$203,AF$4,FALSE))</f>
        <v/>
      </c>
      <c r="AG13" s="37" t="str">
        <f>IF($C13="","",VLOOKUP($C13,CTBat!$G$10:$BR$203,AG$4,FALSE))</f>
        <v/>
      </c>
      <c r="AH13" s="37" t="str">
        <f>IF($C13="","",VLOOKUP($C13,CTBat!$G$10:$BR$203,AH$4,FALSE))</f>
        <v/>
      </c>
      <c r="AI13" s="58" t="str">
        <f>IF($C13="","",VLOOKUP($C13,CTBat!$G$10:$BR$203,AI$4,FALSE))</f>
        <v/>
      </c>
      <c r="AJ13" s="38" t="str">
        <f>IF($C13="","",VLOOKUP($C13,CTBat!$G$10:$BR$203,AJ$4,FALSE))</f>
        <v/>
      </c>
      <c r="AK13" s="67" t="str">
        <f t="shared" si="13"/>
        <v/>
      </c>
      <c r="AL13" s="53" t="str">
        <f t="shared" si="14"/>
        <v/>
      </c>
      <c r="AM13" s="275" t="str">
        <f t="shared" si="15"/>
        <v/>
      </c>
      <c r="AN13" s="275" t="str">
        <f t="shared" si="16"/>
        <v/>
      </c>
      <c r="AO13" s="275" t="str">
        <f t="shared" si="17"/>
        <v/>
      </c>
      <c r="AP13" s="275" t="str">
        <f t="shared" si="18"/>
        <v/>
      </c>
      <c r="AQ13" s="275" t="str">
        <f t="shared" si="19"/>
        <v/>
      </c>
      <c r="AR13" s="275" t="str">
        <f t="shared" si="20"/>
        <v/>
      </c>
      <c r="AS13" s="275" t="str">
        <f t="shared" si="21"/>
        <v/>
      </c>
      <c r="AT13" s="276" t="str">
        <f t="shared" si="22"/>
        <v/>
      </c>
      <c r="AU13" s="58" t="str">
        <f>IF($C13="","",VLOOKUP($C13,CTBat!$G$10:$BR$203,AU$4,FALSE))</f>
        <v/>
      </c>
      <c r="AV13" s="37" t="str">
        <f>IF($C13="","",VLOOKUP($C13,CTBat!$G$10:$BR$203,AV$4,FALSE))</f>
        <v/>
      </c>
      <c r="AW13" s="37" t="str">
        <f>IF($C13="","",VLOOKUP($C13,CTBat!$G$10:$BR$203,AW$4,FALSE))</f>
        <v/>
      </c>
      <c r="AX13" s="37" t="str">
        <f>IF($C13="","",VLOOKUP($C13,CTBat!$G$10:$BR$203,AX$4,FALSE))</f>
        <v/>
      </c>
      <c r="AY13" s="38" t="str">
        <f>IF($C13="","",VLOOKUP($C13,CTBat!$G$10:$BR$203,AY$4,FALSE))</f>
        <v/>
      </c>
      <c r="AZ13" s="67" t="str">
        <f t="shared" si="23"/>
        <v/>
      </c>
    </row>
    <row r="14" spans="1:52">
      <c r="A14">
        <v>9</v>
      </c>
      <c r="B14" s="36" t="s">
        <v>101</v>
      </c>
      <c r="C14" s="65"/>
      <c r="D14" s="37" t="str">
        <f>IF($C14="","",VLOOKUP($C14,CTBat!$G$10:$BR$203,D$4,FALSE))</f>
        <v/>
      </c>
      <c r="E14" s="37" t="str">
        <f>IF($C14="","",VLOOKUP($C14,CTBat!$G$10:$BR$203,E$4,FALSE))</f>
        <v/>
      </c>
      <c r="F14" s="53" t="str">
        <f t="shared" si="3"/>
        <v/>
      </c>
      <c r="G14" s="275" t="str">
        <f t="shared" si="4"/>
        <v/>
      </c>
      <c r="H14" s="275" t="str">
        <f t="shared" si="5"/>
        <v/>
      </c>
      <c r="I14" s="275" t="str">
        <f t="shared" si="24"/>
        <v/>
      </c>
      <c r="J14" s="58" t="str">
        <f>IF($C14="","",VLOOKUP($C14,CTBat!$G$10:$BR$203,J$4,FALSE))</f>
        <v/>
      </c>
      <c r="K14" s="37" t="str">
        <f>IF($C14="","",VLOOKUP($C14,CTBat!$G$10:$BR$203,K$4,FALSE))</f>
        <v/>
      </c>
      <c r="L14" s="38" t="str">
        <f>IF($C14="","",VLOOKUP($C14,CTBat!$G$10:$BR$203,L$4,FALSE))</f>
        <v/>
      </c>
      <c r="M14" s="37" t="str">
        <f>IF($C14="","",VLOOKUP($C14,CTBat!$G$10:$BR$203,M$4,FALSE))</f>
        <v/>
      </c>
      <c r="N14" s="37" t="str">
        <f>IF($C14="","",VLOOKUP($C14,CTBat!$G$10:$BR$203,N$4,FALSE))</f>
        <v/>
      </c>
      <c r="O14" s="37" t="str">
        <f>IF($C14="","",VLOOKUP($C14,CTBat!$G$10:$BR$203,O$4,FALSE))</f>
        <v/>
      </c>
      <c r="P14" s="37" t="str">
        <f>IF($C14="","",VLOOKUP($C14,CTBat!$G$10:$BR$203,P$4,FALSE))</f>
        <v/>
      </c>
      <c r="Q14" s="37" t="str">
        <f>IF($C14="","",VLOOKUP($C14,CTBat!$G$10:$BR$203,Q$4,FALSE))</f>
        <v/>
      </c>
      <c r="R14" s="37" t="str">
        <f>IF($C14="","",VLOOKUP($C14,CTBat!$G$10:$BR$203,R$4,FALSE))</f>
        <v/>
      </c>
      <c r="S14" s="37" t="str">
        <f>IF($C14="","",VLOOKUP($C14,CTBat!$G$10:$BR$203,S$4,FALSE))</f>
        <v/>
      </c>
      <c r="T14" s="38" t="str">
        <f>IF($C14="","",VLOOKUP($C14,CTBat!$G$10:$BR$203,T$4,FALSE))</f>
        <v/>
      </c>
      <c r="U14" s="53" t="str">
        <f t="shared" si="1"/>
        <v/>
      </c>
      <c r="V14" s="275" t="str">
        <f t="shared" si="2"/>
        <v/>
      </c>
      <c r="W14" s="275" t="str">
        <f t="shared" si="6"/>
        <v/>
      </c>
      <c r="X14" s="275" t="str">
        <f t="shared" si="7"/>
        <v/>
      </c>
      <c r="Y14" s="275" t="str">
        <f t="shared" si="8"/>
        <v/>
      </c>
      <c r="Z14" s="275" t="str">
        <f t="shared" si="9"/>
        <v/>
      </c>
      <c r="AA14" s="275" t="str">
        <f t="shared" si="10"/>
        <v/>
      </c>
      <c r="AB14" s="275" t="str">
        <f t="shared" si="11"/>
        <v/>
      </c>
      <c r="AC14" s="276" t="str">
        <f t="shared" si="12"/>
        <v/>
      </c>
      <c r="AD14" s="37" t="str">
        <f>IF($C14="","",VLOOKUP($C14,CTBat!$G$10:$BR$203,AD$4,FALSE))</f>
        <v/>
      </c>
      <c r="AE14" s="37" t="str">
        <f>IF($C14="","",VLOOKUP($C14,CTBat!$G$10:$BR$203,AE$4,FALSE))</f>
        <v/>
      </c>
      <c r="AF14" s="37" t="str">
        <f>IF($C14="","",VLOOKUP($C14,CTBat!$G$10:$BR$203,AF$4,FALSE))</f>
        <v/>
      </c>
      <c r="AG14" s="37" t="str">
        <f>IF($C14="","",VLOOKUP($C14,CTBat!$G$10:$BR$203,AG$4,FALSE))</f>
        <v/>
      </c>
      <c r="AH14" s="37" t="str">
        <f>IF($C14="","",VLOOKUP($C14,CTBat!$G$10:$BR$203,AH$4,FALSE))</f>
        <v/>
      </c>
      <c r="AI14" s="58" t="str">
        <f>IF($C14="","",VLOOKUP($C14,CTBat!$G$10:$BR$203,AI$4,FALSE))</f>
        <v/>
      </c>
      <c r="AJ14" s="38" t="str">
        <f>IF($C14="","",VLOOKUP($C14,CTBat!$G$10:$BR$203,AJ$4,FALSE))</f>
        <v/>
      </c>
      <c r="AK14" s="67" t="str">
        <f t="shared" si="13"/>
        <v/>
      </c>
      <c r="AL14" s="53" t="str">
        <f t="shared" si="14"/>
        <v/>
      </c>
      <c r="AM14" s="275" t="str">
        <f t="shared" si="15"/>
        <v/>
      </c>
      <c r="AN14" s="275" t="str">
        <f t="shared" si="16"/>
        <v/>
      </c>
      <c r="AO14" s="275" t="str">
        <f t="shared" si="17"/>
        <v/>
      </c>
      <c r="AP14" s="275" t="str">
        <f t="shared" si="18"/>
        <v/>
      </c>
      <c r="AQ14" s="275" t="str">
        <f t="shared" si="19"/>
        <v/>
      </c>
      <c r="AR14" s="275" t="str">
        <f t="shared" si="20"/>
        <v/>
      </c>
      <c r="AS14" s="275" t="str">
        <f t="shared" si="21"/>
        <v/>
      </c>
      <c r="AT14" s="276" t="str">
        <f t="shared" si="22"/>
        <v/>
      </c>
      <c r="AU14" s="58" t="str">
        <f>IF($C14="","",VLOOKUP($C14,CTBat!$G$10:$BR$203,AU$4,FALSE))</f>
        <v/>
      </c>
      <c r="AV14" s="37" t="str">
        <f>IF($C14="","",VLOOKUP($C14,CTBat!$G$10:$BR$203,AV$4,FALSE))</f>
        <v/>
      </c>
      <c r="AW14" s="37" t="str">
        <f>IF($C14="","",VLOOKUP($C14,CTBat!$G$10:$BR$203,AW$4,FALSE))</f>
        <v/>
      </c>
      <c r="AX14" s="37" t="str">
        <f>IF($C14="","",VLOOKUP($C14,CTBat!$G$10:$BR$203,AX$4,FALSE))</f>
        <v/>
      </c>
      <c r="AY14" s="38" t="str">
        <f>IF($C14="","",VLOOKUP($C14,CTBat!$G$10:$BR$203,AY$4,FALSE))</f>
        <v/>
      </c>
      <c r="AZ14" s="67" t="str">
        <f t="shared" si="23"/>
        <v/>
      </c>
    </row>
    <row r="15" spans="1:52">
      <c r="A15">
        <v>9</v>
      </c>
      <c r="B15" s="36" t="s">
        <v>101</v>
      </c>
      <c r="C15" s="65"/>
      <c r="D15" s="37" t="str">
        <f>IF($C15="","",VLOOKUP($C15,CTBat!$G$10:$BR$203,D$4,FALSE))</f>
        <v/>
      </c>
      <c r="E15" s="37" t="str">
        <f>IF($C15="","",VLOOKUP($C15,CTBat!$G$10:$BR$203,E$4,FALSE))</f>
        <v/>
      </c>
      <c r="F15" s="53" t="str">
        <f t="shared" si="3"/>
        <v/>
      </c>
      <c r="G15" s="275" t="str">
        <f t="shared" si="4"/>
        <v/>
      </c>
      <c r="H15" s="275" t="str">
        <f t="shared" si="5"/>
        <v/>
      </c>
      <c r="I15" s="275" t="str">
        <f t="shared" si="24"/>
        <v/>
      </c>
      <c r="J15" s="58" t="str">
        <f>IF($C15="","",VLOOKUP($C15,CTBat!$G$10:$BR$203,J$4,FALSE))</f>
        <v/>
      </c>
      <c r="K15" s="37" t="str">
        <f>IF($C15="","",VLOOKUP($C15,CTBat!$G$10:$BR$203,K$4,FALSE))</f>
        <v/>
      </c>
      <c r="L15" s="38" t="str">
        <f>IF($C15="","",VLOOKUP($C15,CTBat!$G$10:$BR$203,L$4,FALSE))</f>
        <v/>
      </c>
      <c r="M15" s="37" t="str">
        <f>IF($C15="","",VLOOKUP($C15,CTBat!$G$10:$BR$203,M$4,FALSE))</f>
        <v/>
      </c>
      <c r="N15" s="37" t="str">
        <f>IF($C15="","",VLOOKUP($C15,CTBat!$G$10:$BR$203,N$4,FALSE))</f>
        <v/>
      </c>
      <c r="O15" s="37" t="str">
        <f>IF($C15="","",VLOOKUP($C15,CTBat!$G$10:$BR$203,O$4,FALSE))</f>
        <v/>
      </c>
      <c r="P15" s="37" t="str">
        <f>IF($C15="","",VLOOKUP($C15,CTBat!$G$10:$BR$203,P$4,FALSE))</f>
        <v/>
      </c>
      <c r="Q15" s="37" t="str">
        <f>IF($C15="","",VLOOKUP($C15,CTBat!$G$10:$BR$203,Q$4,FALSE))</f>
        <v/>
      </c>
      <c r="R15" s="37" t="str">
        <f>IF($C15="","",VLOOKUP($C15,CTBat!$G$10:$BR$203,R$4,FALSE))</f>
        <v/>
      </c>
      <c r="S15" s="37" t="str">
        <f>IF($C15="","",VLOOKUP($C15,CTBat!$G$10:$BR$203,S$4,FALSE))</f>
        <v/>
      </c>
      <c r="T15" s="38" t="str">
        <f>IF($C15="","",VLOOKUP($C15,CTBat!$G$10:$BR$203,T$4,FALSE))</f>
        <v/>
      </c>
      <c r="U15" s="53" t="str">
        <f t="shared" si="1"/>
        <v/>
      </c>
      <c r="V15" s="275" t="str">
        <f t="shared" si="2"/>
        <v/>
      </c>
      <c r="W15" s="275" t="str">
        <f t="shared" si="6"/>
        <v/>
      </c>
      <c r="X15" s="275" t="str">
        <f t="shared" si="7"/>
        <v/>
      </c>
      <c r="Y15" s="275" t="str">
        <f t="shared" si="8"/>
        <v/>
      </c>
      <c r="Z15" s="275" t="str">
        <f t="shared" si="9"/>
        <v/>
      </c>
      <c r="AA15" s="275" t="str">
        <f t="shared" si="10"/>
        <v/>
      </c>
      <c r="AB15" s="275" t="str">
        <f t="shared" si="11"/>
        <v/>
      </c>
      <c r="AC15" s="276" t="str">
        <f t="shared" si="12"/>
        <v/>
      </c>
      <c r="AD15" s="37" t="str">
        <f>IF($C15="","",VLOOKUP($C15,CTBat!$G$10:$BR$203,AD$4,FALSE))</f>
        <v/>
      </c>
      <c r="AE15" s="37" t="str">
        <f>IF($C15="","",VLOOKUP($C15,CTBat!$G$10:$BR$203,AE$4,FALSE))</f>
        <v/>
      </c>
      <c r="AF15" s="37" t="str">
        <f>IF($C15="","",VLOOKUP($C15,CTBat!$G$10:$BR$203,AF$4,FALSE))</f>
        <v/>
      </c>
      <c r="AG15" s="37" t="str">
        <f>IF($C15="","",VLOOKUP($C15,CTBat!$G$10:$BR$203,AG$4,FALSE))</f>
        <v/>
      </c>
      <c r="AH15" s="37" t="str">
        <f>IF($C15="","",VLOOKUP($C15,CTBat!$G$10:$BR$203,AH$4,FALSE))</f>
        <v/>
      </c>
      <c r="AI15" s="58" t="str">
        <f>IF($C15="","",VLOOKUP($C15,CTBat!$G$10:$BR$203,AI$4,FALSE))</f>
        <v/>
      </c>
      <c r="AJ15" s="38" t="str">
        <f>IF($C15="","",VLOOKUP($C15,CTBat!$G$10:$BR$203,AJ$4,FALSE))</f>
        <v/>
      </c>
      <c r="AK15" s="67" t="str">
        <f t="shared" si="13"/>
        <v/>
      </c>
      <c r="AL15" s="53" t="str">
        <f t="shared" si="14"/>
        <v/>
      </c>
      <c r="AM15" s="275" t="str">
        <f t="shared" si="15"/>
        <v/>
      </c>
      <c r="AN15" s="275" t="str">
        <f t="shared" si="16"/>
        <v/>
      </c>
      <c r="AO15" s="275" t="str">
        <f t="shared" si="17"/>
        <v/>
      </c>
      <c r="AP15" s="275" t="str">
        <f t="shared" si="18"/>
        <v/>
      </c>
      <c r="AQ15" s="275" t="str">
        <f t="shared" si="19"/>
        <v/>
      </c>
      <c r="AR15" s="275" t="str">
        <f t="shared" si="20"/>
        <v/>
      </c>
      <c r="AS15" s="275" t="str">
        <f t="shared" si="21"/>
        <v/>
      </c>
      <c r="AT15" s="276" t="str">
        <f t="shared" si="22"/>
        <v/>
      </c>
      <c r="AU15" s="58" t="str">
        <f>IF($C15="","",VLOOKUP($C15,CTBat!$G$10:$BR$203,AU$4,FALSE))</f>
        <v/>
      </c>
      <c r="AV15" s="37" t="str">
        <f>IF($C15="","",VLOOKUP($C15,CTBat!$G$10:$BR$203,AV$4,FALSE))</f>
        <v/>
      </c>
      <c r="AW15" s="37" t="str">
        <f>IF($C15="","",VLOOKUP($C15,CTBat!$G$10:$BR$203,AW$4,FALSE))</f>
        <v/>
      </c>
      <c r="AX15" s="37" t="str">
        <f>IF($C15="","",VLOOKUP($C15,CTBat!$G$10:$BR$203,AX$4,FALSE))</f>
        <v/>
      </c>
      <c r="AY15" s="38" t="str">
        <f>IF($C15="","",VLOOKUP($C15,CTBat!$G$10:$BR$203,AY$4,FALSE))</f>
        <v/>
      </c>
      <c r="AZ15" s="67" t="str">
        <f t="shared" si="23"/>
        <v/>
      </c>
    </row>
    <row r="16" spans="1:52">
      <c r="A16">
        <v>9</v>
      </c>
      <c r="B16" s="36" t="s">
        <v>101</v>
      </c>
      <c r="C16" s="65"/>
      <c r="D16" s="37" t="str">
        <f>IF($C16="","",VLOOKUP($C16,CTBat!$G$10:$BR$203,D$4,FALSE))</f>
        <v/>
      </c>
      <c r="E16" s="37" t="str">
        <f>IF($C16="","",VLOOKUP($C16,CTBat!$G$10:$BR$203,E$4,FALSE))</f>
        <v/>
      </c>
      <c r="F16" s="53" t="str">
        <f t="shared" si="3"/>
        <v/>
      </c>
      <c r="G16" s="275" t="str">
        <f t="shared" si="4"/>
        <v/>
      </c>
      <c r="H16" s="275" t="str">
        <f t="shared" si="5"/>
        <v/>
      </c>
      <c r="I16" s="275" t="str">
        <f t="shared" si="24"/>
        <v/>
      </c>
      <c r="J16" s="58" t="str">
        <f>IF($C16="","",VLOOKUP($C16,CTBat!$G$10:$BR$203,J$4,FALSE))</f>
        <v/>
      </c>
      <c r="K16" s="37" t="str">
        <f>IF($C16="","",VLOOKUP($C16,CTBat!$G$10:$BR$203,K$4,FALSE))</f>
        <v/>
      </c>
      <c r="L16" s="38" t="str">
        <f>IF($C16="","",VLOOKUP($C16,CTBat!$G$10:$BR$203,L$4,FALSE))</f>
        <v/>
      </c>
      <c r="M16" s="37" t="str">
        <f>IF($C16="","",VLOOKUP($C16,CTBat!$G$10:$BR$203,M$4,FALSE))</f>
        <v/>
      </c>
      <c r="N16" s="37" t="str">
        <f>IF($C16="","",VLOOKUP($C16,CTBat!$G$10:$BR$203,N$4,FALSE))</f>
        <v/>
      </c>
      <c r="O16" s="37" t="str">
        <f>IF($C16="","",VLOOKUP($C16,CTBat!$G$10:$BR$203,O$4,FALSE))</f>
        <v/>
      </c>
      <c r="P16" s="37" t="str">
        <f>IF($C16="","",VLOOKUP($C16,CTBat!$G$10:$BR$203,P$4,FALSE))</f>
        <v/>
      </c>
      <c r="Q16" s="37" t="str">
        <f>IF($C16="","",VLOOKUP($C16,CTBat!$G$10:$BR$203,Q$4,FALSE))</f>
        <v/>
      </c>
      <c r="R16" s="37" t="str">
        <f>IF($C16="","",VLOOKUP($C16,CTBat!$G$10:$BR$203,R$4,FALSE))</f>
        <v/>
      </c>
      <c r="S16" s="37" t="str">
        <f>IF($C16="","",VLOOKUP($C16,CTBat!$G$10:$BR$203,S$4,FALSE))</f>
        <v/>
      </c>
      <c r="T16" s="38" t="str">
        <f>IF($C16="","",VLOOKUP($C16,CTBat!$G$10:$BR$203,T$4,FALSE))</f>
        <v/>
      </c>
      <c r="U16" s="53" t="str">
        <f t="shared" si="1"/>
        <v/>
      </c>
      <c r="V16" s="275" t="str">
        <f t="shared" si="2"/>
        <v/>
      </c>
      <c r="W16" s="275" t="str">
        <f t="shared" si="6"/>
        <v/>
      </c>
      <c r="X16" s="275" t="str">
        <f t="shared" si="7"/>
        <v/>
      </c>
      <c r="Y16" s="275" t="str">
        <f t="shared" si="8"/>
        <v/>
      </c>
      <c r="Z16" s="275" t="str">
        <f t="shared" si="9"/>
        <v/>
      </c>
      <c r="AA16" s="275" t="str">
        <f t="shared" si="10"/>
        <v/>
      </c>
      <c r="AB16" s="275" t="str">
        <f t="shared" si="11"/>
        <v/>
      </c>
      <c r="AC16" s="276" t="str">
        <f t="shared" si="12"/>
        <v/>
      </c>
      <c r="AD16" s="37" t="str">
        <f>IF($C16="","",VLOOKUP($C16,CTBat!$G$10:$BR$203,AD$4,FALSE))</f>
        <v/>
      </c>
      <c r="AE16" s="37" t="str">
        <f>IF($C16="","",VLOOKUP($C16,CTBat!$G$10:$BR$203,AE$4,FALSE))</f>
        <v/>
      </c>
      <c r="AF16" s="37" t="str">
        <f>IF($C16="","",VLOOKUP($C16,CTBat!$G$10:$BR$203,AF$4,FALSE))</f>
        <v/>
      </c>
      <c r="AG16" s="37" t="str">
        <f>IF($C16="","",VLOOKUP($C16,CTBat!$G$10:$BR$203,AG$4,FALSE))</f>
        <v/>
      </c>
      <c r="AH16" s="37" t="str">
        <f>IF($C16="","",VLOOKUP($C16,CTBat!$G$10:$BR$203,AH$4,FALSE))</f>
        <v/>
      </c>
      <c r="AI16" s="58" t="str">
        <f>IF($C16="","",VLOOKUP($C16,CTBat!$G$10:$BR$203,AI$4,FALSE))</f>
        <v/>
      </c>
      <c r="AJ16" s="38" t="str">
        <f>IF($C16="","",VLOOKUP($C16,CTBat!$G$10:$BR$203,AJ$4,FALSE))</f>
        <v/>
      </c>
      <c r="AK16" s="67" t="str">
        <f t="shared" si="13"/>
        <v/>
      </c>
      <c r="AL16" s="53" t="str">
        <f t="shared" si="14"/>
        <v/>
      </c>
      <c r="AM16" s="275" t="str">
        <f t="shared" si="15"/>
        <v/>
      </c>
      <c r="AN16" s="275" t="str">
        <f t="shared" si="16"/>
        <v/>
      </c>
      <c r="AO16" s="275" t="str">
        <f t="shared" si="17"/>
        <v/>
      </c>
      <c r="AP16" s="275" t="str">
        <f t="shared" si="18"/>
        <v/>
      </c>
      <c r="AQ16" s="275" t="str">
        <f t="shared" si="19"/>
        <v/>
      </c>
      <c r="AR16" s="275" t="str">
        <f t="shared" si="20"/>
        <v/>
      </c>
      <c r="AS16" s="275" t="str">
        <f t="shared" si="21"/>
        <v/>
      </c>
      <c r="AT16" s="276" t="str">
        <f t="shared" si="22"/>
        <v/>
      </c>
      <c r="AU16" s="58" t="str">
        <f>IF($C16="","",VLOOKUP($C16,CTBat!$G$10:$BR$203,AU$4,FALSE))</f>
        <v/>
      </c>
      <c r="AV16" s="37" t="str">
        <f>IF($C16="","",VLOOKUP($C16,CTBat!$G$10:$BR$203,AV$4,FALSE))</f>
        <v/>
      </c>
      <c r="AW16" s="37" t="str">
        <f>IF($C16="","",VLOOKUP($C16,CTBat!$G$10:$BR$203,AW$4,FALSE))</f>
        <v/>
      </c>
      <c r="AX16" s="37" t="str">
        <f>IF($C16="","",VLOOKUP($C16,CTBat!$G$10:$BR$203,AX$4,FALSE))</f>
        <v/>
      </c>
      <c r="AY16" s="38" t="str">
        <f>IF($C16="","",VLOOKUP($C16,CTBat!$G$10:$BR$203,AY$4,FALSE))</f>
        <v/>
      </c>
      <c r="AZ16" s="67" t="str">
        <f t="shared" si="23"/>
        <v/>
      </c>
    </row>
    <row r="17" spans="1:52">
      <c r="A17">
        <v>10</v>
      </c>
      <c r="B17" s="39" t="s">
        <v>101</v>
      </c>
      <c r="C17" s="40"/>
      <c r="D17" s="40" t="str">
        <f>IF($C17="","",VLOOKUP($C17,CTBat!$G$10:$BR$203,D$4,FALSE))</f>
        <v/>
      </c>
      <c r="E17" s="40" t="str">
        <f>IF($C17="","",VLOOKUP($C17,CTBat!$G$10:$BR$203,E$4,FALSE))</f>
        <v/>
      </c>
      <c r="F17" s="54" t="str">
        <f t="shared" si="3"/>
        <v/>
      </c>
      <c r="G17" s="273" t="str">
        <f t="shared" si="4"/>
        <v/>
      </c>
      <c r="H17" s="273" t="str">
        <f t="shared" si="5"/>
        <v/>
      </c>
      <c r="I17" s="273" t="str">
        <f t="shared" si="24"/>
        <v/>
      </c>
      <c r="J17" s="59" t="str">
        <f>IF($C17="","",VLOOKUP($C17,CTBat!$G$10:$BR$203,J$4,FALSE))</f>
        <v/>
      </c>
      <c r="K17" s="40" t="str">
        <f>IF($C17="","",VLOOKUP($C17,CTBat!$G$10:$BR$203,K$4,FALSE))</f>
        <v/>
      </c>
      <c r="L17" s="42" t="str">
        <f>IF($C17="","",VLOOKUP($C17,CTBat!$G$10:$BR$203,L$4,FALSE))</f>
        <v/>
      </c>
      <c r="M17" s="40" t="str">
        <f>IF($C17="","",VLOOKUP($C17,CTBat!$G$10:$BR$203,M$4,FALSE))</f>
        <v/>
      </c>
      <c r="N17" s="40" t="str">
        <f>IF($C17="","",VLOOKUP($C17,CTBat!$G$10:$BR$203,N$4,FALSE))</f>
        <v/>
      </c>
      <c r="O17" s="40" t="str">
        <f>IF($C17="","",VLOOKUP($C17,CTBat!$G$10:$BR$203,O$4,FALSE))</f>
        <v/>
      </c>
      <c r="P17" s="40" t="str">
        <f>IF($C17="","",VLOOKUP($C17,CTBat!$G$10:$BR$203,P$4,FALSE))</f>
        <v/>
      </c>
      <c r="Q17" s="40" t="str">
        <f>IF($C17="","",VLOOKUP($C17,CTBat!$G$10:$BR$203,Q$4,FALSE))</f>
        <v/>
      </c>
      <c r="R17" s="40" t="str">
        <f>IF($C17="","",VLOOKUP($C17,CTBat!$G$10:$BR$203,R$4,FALSE))</f>
        <v/>
      </c>
      <c r="S17" s="40" t="str">
        <f>IF($C17="","",VLOOKUP($C17,CTBat!$G$10:$BR$203,S$4,FALSE))</f>
        <v/>
      </c>
      <c r="T17" s="42" t="str">
        <f>IF($C17="","",VLOOKUP($C17,CTBat!$G$10:$BR$203,T$4,FALSE))</f>
        <v/>
      </c>
      <c r="U17" s="54" t="str">
        <f t="shared" si="1"/>
        <v/>
      </c>
      <c r="V17" s="273" t="str">
        <f t="shared" si="2"/>
        <v/>
      </c>
      <c r="W17" s="273" t="str">
        <f t="shared" si="6"/>
        <v/>
      </c>
      <c r="X17" s="273" t="str">
        <f t="shared" si="7"/>
        <v/>
      </c>
      <c r="Y17" s="273" t="str">
        <f t="shared" si="8"/>
        <v/>
      </c>
      <c r="Z17" s="273" t="str">
        <f t="shared" si="9"/>
        <v/>
      </c>
      <c r="AA17" s="273" t="str">
        <f t="shared" si="10"/>
        <v/>
      </c>
      <c r="AB17" s="273" t="str">
        <f t="shared" si="11"/>
        <v/>
      </c>
      <c r="AC17" s="274" t="str">
        <f t="shared" si="12"/>
        <v/>
      </c>
      <c r="AD17" s="40" t="str">
        <f>IF($C17="","",VLOOKUP($C17,CTBat!$G$10:$BR$203,AD$4,FALSE))</f>
        <v/>
      </c>
      <c r="AE17" s="40" t="str">
        <f>IF($C17="","",VLOOKUP($C17,CTBat!$G$10:$BR$203,AE$4,FALSE))</f>
        <v/>
      </c>
      <c r="AF17" s="40" t="str">
        <f>IF($C17="","",VLOOKUP($C17,CTBat!$G$10:$BR$203,AF$4,FALSE))</f>
        <v/>
      </c>
      <c r="AG17" s="40" t="str">
        <f>IF($C17="","",VLOOKUP($C17,CTBat!$G$10:$BR$203,AG$4,FALSE))</f>
        <v/>
      </c>
      <c r="AH17" s="40" t="str">
        <f>IF($C17="","",VLOOKUP($C17,CTBat!$G$10:$BR$203,AH$4,FALSE))</f>
        <v/>
      </c>
      <c r="AI17" s="59" t="str">
        <f>IF($C17="","",VLOOKUP($C17,CTBat!$G$10:$BR$203,AI$4,FALSE))</f>
        <v/>
      </c>
      <c r="AJ17" s="42" t="str">
        <f>IF($C17="","",VLOOKUP($C17,CTBat!$G$10:$BR$203,AJ$4,FALSE))</f>
        <v/>
      </c>
      <c r="AK17" s="68" t="str">
        <f t="shared" si="13"/>
        <v/>
      </c>
      <c r="AL17" s="54" t="str">
        <f t="shared" si="14"/>
        <v/>
      </c>
      <c r="AM17" s="273" t="str">
        <f t="shared" si="15"/>
        <v/>
      </c>
      <c r="AN17" s="273" t="str">
        <f t="shared" si="16"/>
        <v/>
      </c>
      <c r="AO17" s="273" t="str">
        <f t="shared" si="17"/>
        <v/>
      </c>
      <c r="AP17" s="273" t="str">
        <f t="shared" si="18"/>
        <v/>
      </c>
      <c r="AQ17" s="273" t="str">
        <f t="shared" si="19"/>
        <v/>
      </c>
      <c r="AR17" s="273" t="str">
        <f t="shared" si="20"/>
        <v/>
      </c>
      <c r="AS17" s="273" t="str">
        <f t="shared" si="21"/>
        <v/>
      </c>
      <c r="AT17" s="274" t="str">
        <f t="shared" si="22"/>
        <v/>
      </c>
      <c r="AU17" s="59" t="str">
        <f>IF($C17="","",VLOOKUP($C17,CTBat!$G$10:$BR$203,AU$4,FALSE))</f>
        <v/>
      </c>
      <c r="AV17" s="40" t="str">
        <f>IF($C17="","",VLOOKUP($C17,CTBat!$G$10:$BR$203,AV$4,FALSE))</f>
        <v/>
      </c>
      <c r="AW17" s="40" t="str">
        <f>IF($C17="","",VLOOKUP($C17,CTBat!$G$10:$BR$203,AW$4,FALSE))</f>
        <v/>
      </c>
      <c r="AX17" s="40" t="str">
        <f>IF($C17="","",VLOOKUP($C17,CTBat!$G$10:$BR$203,AX$4,FALSE))</f>
        <v/>
      </c>
      <c r="AY17" s="42" t="str">
        <f>IF($C17="","",VLOOKUP($C17,CTBat!$G$10:$BR$203,AY$4,FALSE))</f>
        <v/>
      </c>
      <c r="AZ17" s="68" t="str">
        <f t="shared" si="23"/>
        <v/>
      </c>
    </row>
    <row r="19" spans="1:52" s="24" customFormat="1" ht="196.5">
      <c r="A19" s="25" t="s">
        <v>193</v>
      </c>
      <c r="B19" s="270" t="s">
        <v>125</v>
      </c>
      <c r="C19" s="44" t="str">
        <f>"Player ("&amp;COUNTA(C20:C27)&amp;")"</f>
        <v>Player (1)</v>
      </c>
      <c r="D19" s="44" t="s">
        <v>91</v>
      </c>
      <c r="E19" s="44" t="s">
        <v>101</v>
      </c>
      <c r="F19" s="51" t="str">
        <f>"Only 1 guy who only plays 2B ("&amp;SUM(F20:F27)&amp;")"</f>
        <v>Only 1 guy who only plays 2B (0)</v>
      </c>
      <c r="G19" s="46" t="str">
        <f>"2 Guys Who Play SS ("&amp;SUM(G20:G27)&amp;")"</f>
        <v>2 Guys Who Play SS (1)</v>
      </c>
      <c r="H19" s="46" t="str">
        <f>"2 guys with 3B arm ("&amp;SUM(H20:H27)&amp;")"</f>
        <v>2 guys with 3B arm (1)</v>
      </c>
      <c r="I19" s="49" t="s">
        <v>41</v>
      </c>
      <c r="J19" s="47" t="s">
        <v>136</v>
      </c>
      <c r="K19" s="47" t="s">
        <v>134</v>
      </c>
      <c r="L19" s="47" t="s">
        <v>135</v>
      </c>
      <c r="M19" s="63" t="s">
        <v>92</v>
      </c>
      <c r="N19" s="48" t="s">
        <v>94</v>
      </c>
      <c r="O19" s="48" t="s">
        <v>95</v>
      </c>
      <c r="P19" s="48" t="s">
        <v>96</v>
      </c>
      <c r="Q19" s="48" t="s">
        <v>97</v>
      </c>
      <c r="R19" s="48" t="s">
        <v>98</v>
      </c>
      <c r="S19" s="48" t="s">
        <v>99</v>
      </c>
      <c r="T19" s="49" t="s">
        <v>100</v>
      </c>
      <c r="U19" s="45" t="s">
        <v>137</v>
      </c>
      <c r="V19" s="45" t="s">
        <v>181</v>
      </c>
      <c r="W19" s="45" t="s">
        <v>138</v>
      </c>
      <c r="X19" s="45" t="s">
        <v>139</v>
      </c>
      <c r="Y19" s="45" t="s">
        <v>140</v>
      </c>
      <c r="Z19" s="45" t="s">
        <v>141</v>
      </c>
      <c r="AA19" s="45" t="s">
        <v>142</v>
      </c>
      <c r="AB19" s="45" t="s">
        <v>144</v>
      </c>
      <c r="AC19" s="45" t="s">
        <v>143</v>
      </c>
      <c r="AD19" s="63" t="s">
        <v>147</v>
      </c>
      <c r="AE19" s="48" t="s">
        <v>148</v>
      </c>
      <c r="AF19" s="48" t="s">
        <v>149</v>
      </c>
      <c r="AG19" s="48" t="s">
        <v>150</v>
      </c>
      <c r="AH19" s="48" t="s">
        <v>29</v>
      </c>
      <c r="AI19" s="48" t="s">
        <v>151</v>
      </c>
      <c r="AJ19" s="49" t="s">
        <v>152</v>
      </c>
      <c r="AK19" s="66" t="s">
        <v>157</v>
      </c>
      <c r="AL19" s="45" t="s">
        <v>137</v>
      </c>
      <c r="AM19" s="45" t="s">
        <v>181</v>
      </c>
      <c r="AN19" s="45" t="s">
        <v>138</v>
      </c>
      <c r="AO19" s="45" t="s">
        <v>139</v>
      </c>
      <c r="AP19" s="45" t="s">
        <v>140</v>
      </c>
      <c r="AQ19" s="45" t="s">
        <v>141</v>
      </c>
      <c r="AR19" s="45" t="s">
        <v>142</v>
      </c>
      <c r="AS19" s="45" t="s">
        <v>144</v>
      </c>
      <c r="AT19" s="45" t="s">
        <v>143</v>
      </c>
      <c r="AU19" s="63" t="s">
        <v>147</v>
      </c>
      <c r="AV19" s="48" t="s">
        <v>148</v>
      </c>
      <c r="AW19" s="48" t="s">
        <v>149</v>
      </c>
      <c r="AX19" s="48" t="s">
        <v>150</v>
      </c>
      <c r="AY19" s="49" t="s">
        <v>29</v>
      </c>
      <c r="AZ19" s="66" t="s">
        <v>197</v>
      </c>
    </row>
    <row r="20" spans="1:52">
      <c r="A20">
        <v>1</v>
      </c>
      <c r="B20" s="36" t="s">
        <v>95</v>
      </c>
      <c r="C20" s="37"/>
      <c r="D20" s="37" t="str">
        <f>IF($C20="","",VLOOKUP($C20,CTBat!$G$10:$BR$203,D$4,FALSE))</f>
        <v/>
      </c>
      <c r="E20" s="33" t="str">
        <f>IF($C20="","",VLOOKUP($C20,CTBat!$G$10:$BR$203,E$4,FALSE))</f>
        <v/>
      </c>
      <c r="F20" s="53" t="str">
        <f>IF($C20="","",IF(AND(O20&gt;0,O20=SUM(M20:T20)),1,0))</f>
        <v/>
      </c>
      <c r="G20" s="275" t="str">
        <f t="shared" ref="G20:G26" si="25">IF($C20="","",IF(Q20&lt;&gt;"-",1,0))</f>
        <v/>
      </c>
      <c r="H20" s="275" t="str">
        <f>IF($C20="","",IF(AND(K20&gt;5,P20&lt;&gt;"-"),1,0))</f>
        <v/>
      </c>
      <c r="I20" s="276" t="str">
        <f>IF($C20="","","-")</f>
        <v/>
      </c>
      <c r="J20" s="37" t="str">
        <f>IF($C20="","",VLOOKUP($C20,CTBat!$G$10:$BR$203,J$4,FALSE))</f>
        <v/>
      </c>
      <c r="K20" s="37" t="str">
        <f>IF($C20="","",VLOOKUP($C20,CTBat!$G$10:$BR$203,K$4,FALSE))</f>
        <v/>
      </c>
      <c r="L20" s="37" t="str">
        <f>IF($C20="","",VLOOKUP($C20,CTBat!$G$10:$BR$203,L$4,FALSE))</f>
        <v/>
      </c>
      <c r="M20" s="58" t="str">
        <f>IF($C20="","",VLOOKUP($C20,CTBat!$G$10:$BR$203,M$4,FALSE))</f>
        <v/>
      </c>
      <c r="N20" s="37" t="str">
        <f>IF($C20="","",VLOOKUP($C20,CTBat!$G$10:$BR$203,N$4,FALSE))</f>
        <v/>
      </c>
      <c r="O20" s="37" t="str">
        <f>IF($C20="","",VLOOKUP($C20,CTBat!$G$10:$BR$203,O$4,FALSE))</f>
        <v/>
      </c>
      <c r="P20" s="37" t="str">
        <f>IF($C20="","",VLOOKUP($C20,CTBat!$G$10:$BR$203,P$4,FALSE))</f>
        <v/>
      </c>
      <c r="Q20" s="37" t="str">
        <f>IF($C20="","",VLOOKUP($C20,CTBat!$G$10:$BR$203,Q$4,FALSE))</f>
        <v/>
      </c>
      <c r="R20" s="37" t="str">
        <f>IF($C20="","",VLOOKUP($C20,CTBat!$G$10:$BR$203,R$4,FALSE))</f>
        <v/>
      </c>
      <c r="S20" s="37" t="str">
        <f>IF($C20="","",VLOOKUP($C20,CTBat!$G$10:$BR$203,S$4,FALSE))</f>
        <v/>
      </c>
      <c r="T20" s="38" t="str">
        <f>IF($C20="","",VLOOKUP($C20,CTBat!$G$10:$BR$203,T$4,FALSE))</f>
        <v/>
      </c>
      <c r="U20" s="275" t="str">
        <f t="shared" ref="U20:U21" si="26">IF($C20="","",IF(OR(AD20+AG20&gt;14,AND(OR(AD20+AG20&gt;12,AND(AD20&gt;6,AG20&gt;6)),AI20&gt;6,OR(AJ20&gt;=AI20,AJ20&gt;6))),1,0))</f>
        <v/>
      </c>
      <c r="V20" s="275" t="str">
        <f t="shared" ref="V20:V27" si="27">IF($C20="","",IF(OR(AND(AD20&gt;6,AH20&gt;6),AD20+AG20&gt;12),1,0))</f>
        <v/>
      </c>
      <c r="W20" s="275" t="str">
        <f>IF($C20="","",IF(AND(AD20&gt;6,AF20&gt;6,AG20&gt;6),1,0))</f>
        <v/>
      </c>
      <c r="X20" s="275" t="str">
        <f t="shared" ref="X20:X27" si="28">IF($C20="","",IF(AND(AF20&gt;7,OR(AD20&gt;6,AG20&gt;6)),1,0))</f>
        <v/>
      </c>
      <c r="Y20" s="275" t="str">
        <f t="shared" ref="Y20:Y27" si="29">IF($C20="","",IF(AND(AF20&gt;6,OR(AD20&gt;6,AG20&gt;6)),1,0))</f>
        <v/>
      </c>
      <c r="Z20" s="275" t="str">
        <f t="shared" ref="Z20:Z27" si="30">IF($C20="","",IF(AND(OR(AD20&gt;6,AF20&gt;6),OR(AD20&gt;6,AG20&gt;6)),1,0))</f>
        <v/>
      </c>
      <c r="AA20" s="275" t="str">
        <f t="shared" ref="AA20:AA27" si="31">IF($C20="","",IF(AND(AD20&gt;4,OR(AD20&gt;6,AF20&gt;6,AG20&gt;6)),1,0))</f>
        <v/>
      </c>
      <c r="AB20" s="275" t="str">
        <f t="shared" ref="AB20:AB27" si="32">IF($C20="","",IF(AND(AD20&gt;4,OR(AD20&gt;6,AE20&gt;6,AF20&gt;6,AG20&gt;6)),1,0))</f>
        <v/>
      </c>
      <c r="AC20" s="275" t="str">
        <f t="shared" ref="AC20:AC27" si="33">IF($C20="","",IF(AND(AD20&gt;4,MAX(AD20:AH20)&gt;6),1,0))</f>
        <v/>
      </c>
      <c r="AD20" s="58" t="str">
        <f>IF($C20="","",VLOOKUP($C20,CTBat!$G$10:$BR$203,AD$4,FALSE))</f>
        <v/>
      </c>
      <c r="AE20" s="37" t="str">
        <f>IF($C20="","",VLOOKUP($C20,CTBat!$G$10:$BR$203,AE$4,FALSE))</f>
        <v/>
      </c>
      <c r="AF20" s="37" t="str">
        <f>IF($C20="","",VLOOKUP($C20,CTBat!$G$10:$BR$203,AF$4,FALSE))</f>
        <v/>
      </c>
      <c r="AG20" s="37" t="str">
        <f>IF($C20="","",VLOOKUP($C20,CTBat!$G$10:$BR$203,AG$4,FALSE))</f>
        <v/>
      </c>
      <c r="AH20" s="37" t="str">
        <f>IF($C20="","",VLOOKUP($C20,CTBat!$G$10:$BR$203,AH$4,FALSE))</f>
        <v/>
      </c>
      <c r="AI20" s="37" t="str">
        <f>IF($C20="","",VLOOKUP($C20,CTBat!$G$10:$BR$203,AI$4,FALSE))</f>
        <v/>
      </c>
      <c r="AJ20" s="38" t="str">
        <f>IF($C20="","",VLOOKUP($C20,CTBat!$G$10:$BR$203,AJ$4,FALSE))</f>
        <v/>
      </c>
      <c r="AK20" s="67" t="str">
        <f>IF($C20="","",(5*AD20+4*AF20+3*AG20+2*AE20+1*AH20+0.5*(AVERAGE(AD20:AE20))+0.5*AVERAGE(AD20,AH20)+1*(AVERAGE(AD20,AF20))+1*AVERAGE(AD20,AG20))/(5+4+3+2+1+0.5+0.5+1+1))</f>
        <v/>
      </c>
      <c r="AL20" s="275" t="str">
        <f t="shared" ref="AL20:AL27" si="34">IF($C20="","",IF(AND(OR(AU20+AX20&gt;12,AND(AU20&gt;6,AX20&gt;6)),AI20&gt;6,OR(AJ20&gt;=AI20,AJ20&gt;6)),1,0))</f>
        <v/>
      </c>
      <c r="AM20" s="275" t="str">
        <f t="shared" ref="AM20:AM27" si="35">IF($C20="","",IF(OR(AND(AU20&gt;6,AY20&gt;6),AU20+AX20&gt;12),1,0))</f>
        <v/>
      </c>
      <c r="AN20" s="275" t="str">
        <f t="shared" ref="AN20:AN27" si="36">IF($C20="","",IF(AND(AU20&gt;6,AW20&gt;6,AX20&gt;6),1,0))</f>
        <v/>
      </c>
      <c r="AO20" s="275" t="str">
        <f t="shared" ref="AO20:AO27" si="37">IF($C20="","",IF(AND(AW20&gt;7,OR(AU20&gt;6,AX20&gt;6)),1,0))</f>
        <v/>
      </c>
      <c r="AP20" s="275" t="str">
        <f t="shared" ref="AP20:AP27" si="38">IF($C20="","",IF(AND(AW20&gt;6,OR(AU20&gt;6,AX20&gt;6)),1,0))</f>
        <v/>
      </c>
      <c r="AQ20" s="275" t="str">
        <f t="shared" ref="AQ20:AQ27" si="39">IF($C20="","",IF(AND(OR(AU20&gt;6,AW20&gt;6),OR(AU20&gt;6,AX20&gt;6)),1,0))</f>
        <v/>
      </c>
      <c r="AR20" s="275" t="str">
        <f t="shared" ref="AR20:AR27" si="40">IF($C20="","",IF(AND(AU20&gt;4,OR(AU20&gt;6,AW20&gt;6,AX20&gt;6)),1,0))</f>
        <v/>
      </c>
      <c r="AS20" s="275" t="str">
        <f t="shared" ref="AS20:AS27" si="41">IF($C20="","",IF(AND(AU20&gt;4,OR(AU20&gt;6,AV20&gt;6,AW20&gt;6,AX20&gt;6)),1,0))</f>
        <v/>
      </c>
      <c r="AT20" s="275" t="str">
        <f t="shared" ref="AT20:AT27" si="42">IF($C20="","",IF(AND(AU20&gt;4,MAX(AU20:AY20)&gt;6),1,0))</f>
        <v/>
      </c>
      <c r="AU20" s="58" t="str">
        <f>IF($C20="","",VLOOKUP($C20,CTBat!$G$10:$BR$203,AU$4,FALSE))</f>
        <v/>
      </c>
      <c r="AV20" s="37" t="str">
        <f>IF($C20="","",VLOOKUP($C20,CTBat!$G$10:$BR$203,AV$4,FALSE))</f>
        <v/>
      </c>
      <c r="AW20" s="37" t="str">
        <f>IF($C20="","",VLOOKUP($C20,CTBat!$G$10:$BR$203,AW$4,FALSE))</f>
        <v/>
      </c>
      <c r="AX20" s="37" t="str">
        <f>IF($C20="","",VLOOKUP($C20,CTBat!$G$10:$BR$203,AX$4,FALSE))</f>
        <v/>
      </c>
      <c r="AY20" s="38" t="str">
        <f>IF($C20="","",VLOOKUP($C20,CTBat!$G$10:$BR$203,AY$4,FALSE))</f>
        <v/>
      </c>
      <c r="AZ20" s="67" t="str">
        <f t="shared" ref="AZ20:AZ27" si="43">IF($C20="","",(5*AU20+4*AW20+3*AX20+2*AV20+1*AY20+0.5*(AVERAGE(AU20:AV20))+0.5*AVERAGE(AU20,AY20)+1*(AVERAGE(AU20,AW20))+1*AVERAGE(AU20,AX20))/(5+4+3+2+1+0.5+0.5+1+1))</f>
        <v/>
      </c>
    </row>
    <row r="21" spans="1:52">
      <c r="A21">
        <v>2</v>
      </c>
      <c r="B21" s="36" t="s">
        <v>96</v>
      </c>
      <c r="C21" s="37" t="s">
        <v>467</v>
      </c>
      <c r="D21" s="37">
        <f>IF($C21="","",VLOOKUP($C21,CTBat!$G$10:$BR$203,D$4,FALSE))</f>
        <v>23</v>
      </c>
      <c r="E21" s="37" t="str">
        <f>IF($C21="","",VLOOKUP($C21,CTBat!$G$10:$BR$203,E$4,FALSE))</f>
        <v>R</v>
      </c>
      <c r="F21" s="53">
        <f t="shared" ref="F21:F27" si="44">IF($C21="","",IF(AND(O21&gt;0,O21=SUM(M21:T21)),1,0))</f>
        <v>0</v>
      </c>
      <c r="G21" s="275">
        <f t="shared" si="25"/>
        <v>1</v>
      </c>
      <c r="H21" s="275">
        <f>IF($C21="","",IF(AND(K21&gt;5,P21&lt;&gt;"-"),1,0))</f>
        <v>1</v>
      </c>
      <c r="I21" s="276" t="str">
        <f t="shared" ref="I21:I27" si="45">IF($C21="","","-")</f>
        <v>-</v>
      </c>
      <c r="J21" s="37">
        <f>IF($C21="","",VLOOKUP($C21,CTBat!$G$10:$BR$203,J$4,FALSE))</f>
        <v>1</v>
      </c>
      <c r="K21" s="37">
        <f>IF($C21="","",VLOOKUP($C21,CTBat!$G$10:$BR$203,K$4,FALSE))</f>
        <v>9</v>
      </c>
      <c r="L21" s="37">
        <f>IF($C21="","",VLOOKUP($C21,CTBat!$G$10:$BR$203,L$4,FALSE))</f>
        <v>8</v>
      </c>
      <c r="M21" s="58" t="str">
        <f>IF($C21="","",VLOOKUP($C21,CTBat!$G$10:$BR$203,M$4,FALSE))</f>
        <v>-</v>
      </c>
      <c r="N21" s="37">
        <f>IF($C21="","",VLOOKUP($C21,CTBat!$G$10:$BR$203,N$4,FALSE))</f>
        <v>6</v>
      </c>
      <c r="O21" s="37">
        <f>IF($C21="","",VLOOKUP($C21,CTBat!$G$10:$BR$203,O$4,FALSE))</f>
        <v>5</v>
      </c>
      <c r="P21" s="37">
        <f>IF($C21="","",VLOOKUP($C21,CTBat!$G$10:$BR$203,P$4,FALSE))</f>
        <v>8</v>
      </c>
      <c r="Q21" s="37">
        <f>IF($C21="","",VLOOKUP($C21,CTBat!$G$10:$BR$203,Q$4,FALSE))</f>
        <v>4</v>
      </c>
      <c r="R21" s="37">
        <f>IF($C21="","",VLOOKUP($C21,CTBat!$G$10:$BR$203,R$4,FALSE))</f>
        <v>6</v>
      </c>
      <c r="S21" s="37">
        <f>IF($C21="","",VLOOKUP($C21,CTBat!$G$10:$BR$203,S$4,FALSE))</f>
        <v>3</v>
      </c>
      <c r="T21" s="38">
        <f>IF($C21="","",VLOOKUP($C21,CTBat!$G$10:$BR$203,T$4,FALSE))</f>
        <v>2</v>
      </c>
      <c r="U21" s="275">
        <f t="shared" si="26"/>
        <v>0</v>
      </c>
      <c r="V21" s="275">
        <f t="shared" si="27"/>
        <v>0</v>
      </c>
      <c r="W21" s="275">
        <f t="shared" ref="W21:W27" si="46">IF($C21="","",IF(AND(AD21&gt;6,AF21&gt;6,AG21&gt;6),1,0))</f>
        <v>0</v>
      </c>
      <c r="X21" s="275">
        <f t="shared" si="28"/>
        <v>0</v>
      </c>
      <c r="Y21" s="275">
        <f t="shared" si="29"/>
        <v>0</v>
      </c>
      <c r="Z21" s="275">
        <f t="shared" si="30"/>
        <v>0</v>
      </c>
      <c r="AA21" s="275">
        <f t="shared" si="31"/>
        <v>0</v>
      </c>
      <c r="AB21" s="275">
        <f t="shared" si="32"/>
        <v>0</v>
      </c>
      <c r="AC21" s="275">
        <f t="shared" si="33"/>
        <v>0</v>
      </c>
      <c r="AD21" s="58">
        <f>IF($C21="","",VLOOKUP($C21,CTBat!$G$10:$BR$203,AD$4,FALSE))</f>
        <v>6</v>
      </c>
      <c r="AE21" s="37">
        <f>IF($C21="","",VLOOKUP($C21,CTBat!$G$10:$BR$203,AE$4,FALSE))</f>
        <v>5</v>
      </c>
      <c r="AF21" s="37">
        <f>IF($C21="","",VLOOKUP($C21,CTBat!$G$10:$BR$203,AF$4,FALSE))</f>
        <v>3</v>
      </c>
      <c r="AG21" s="37">
        <f>IF($C21="","",VLOOKUP($C21,CTBat!$G$10:$BR$203,AG$4,FALSE))</f>
        <v>4</v>
      </c>
      <c r="AH21" s="37">
        <f>IF($C21="","",VLOOKUP($C21,CTBat!$G$10:$BR$203,AH$4,FALSE))</f>
        <v>4</v>
      </c>
      <c r="AI21" s="37">
        <f>IF($C21="","",VLOOKUP($C21,CTBat!$G$10:$BR$203,AI$4,FALSE))</f>
        <v>8</v>
      </c>
      <c r="AJ21" s="38">
        <f>IF($C21="","",VLOOKUP($C21,CTBat!$G$10:$BR$203,AJ$4,FALSE))</f>
        <v>9</v>
      </c>
      <c r="AK21" s="67">
        <f t="shared" ref="AK21:AK27" si="47">IF($C21="","",(5*AD21+4*AF21+3*AG21+2*AE21+1*AH21+0.5*(AVERAGE(AD21:AE21))+0.5*AVERAGE(AD21,AH21)+1*(AVERAGE(AD21,AF21))+1*AVERAGE(AD21,AG21))/(5+4+3+2+1+0.5+0.5+1+1))</f>
        <v>4.5972222222222223</v>
      </c>
      <c r="AL21" s="275">
        <f t="shared" si="34"/>
        <v>0</v>
      </c>
      <c r="AM21" s="275">
        <f t="shared" si="35"/>
        <v>0</v>
      </c>
      <c r="AN21" s="275">
        <f t="shared" si="36"/>
        <v>0</v>
      </c>
      <c r="AO21" s="275">
        <f t="shared" si="37"/>
        <v>0</v>
      </c>
      <c r="AP21" s="275">
        <f t="shared" si="38"/>
        <v>0</v>
      </c>
      <c r="AQ21" s="275">
        <f t="shared" si="39"/>
        <v>1</v>
      </c>
      <c r="AR21" s="275">
        <f t="shared" si="40"/>
        <v>1</v>
      </c>
      <c r="AS21" s="275">
        <f t="shared" si="41"/>
        <v>1</v>
      </c>
      <c r="AT21" s="275">
        <f t="shared" si="42"/>
        <v>1</v>
      </c>
      <c r="AU21" s="58">
        <f>IF($C21="","",VLOOKUP($C21,CTBat!$G$10:$BR$203,AU$4,FALSE))</f>
        <v>7</v>
      </c>
      <c r="AV21" s="37">
        <f>IF($C21="","",VLOOKUP($C21,CTBat!$G$10:$BR$203,AV$4,FALSE))</f>
        <v>6</v>
      </c>
      <c r="AW21" s="37">
        <f>IF($C21="","",VLOOKUP($C21,CTBat!$G$10:$BR$203,AW$4,FALSE))</f>
        <v>3</v>
      </c>
      <c r="AX21" s="37">
        <f>IF($C21="","",VLOOKUP($C21,CTBat!$G$10:$BR$203,AX$4,FALSE))</f>
        <v>5</v>
      </c>
      <c r="AY21" s="38">
        <f>IF($C21="","",VLOOKUP($C21,CTBat!$G$10:$BR$203,AY$4,FALSE))</f>
        <v>5</v>
      </c>
      <c r="AZ21" s="67">
        <f t="shared" si="43"/>
        <v>5.3472222222222223</v>
      </c>
    </row>
    <row r="22" spans="1:52">
      <c r="A22">
        <v>3</v>
      </c>
      <c r="B22" s="36" t="s">
        <v>97</v>
      </c>
      <c r="C22" s="37"/>
      <c r="D22" s="37" t="str">
        <f>IF($C22="","",VLOOKUP($C22,CTBat!$G$10:$BR$203,D$4,FALSE))</f>
        <v/>
      </c>
      <c r="E22" s="37" t="str">
        <f>IF($C22="","",VLOOKUP($C22,CTBat!$G$10:$BR$203,E$4,FALSE))</f>
        <v/>
      </c>
      <c r="F22" s="53" t="str">
        <f t="shared" si="44"/>
        <v/>
      </c>
      <c r="G22" s="275" t="str">
        <f t="shared" si="25"/>
        <v/>
      </c>
      <c r="H22" s="275" t="str">
        <f t="shared" ref="H22:H27" si="48">IF($C22="","",IF(AND(K22&gt;5,P22&lt;&gt;"-"),1,0))</f>
        <v/>
      </c>
      <c r="I22" s="276" t="str">
        <f t="shared" si="45"/>
        <v/>
      </c>
      <c r="J22" s="37" t="str">
        <f>IF($C22="","",VLOOKUP($C22,CTBat!$G$10:$BR$203,J$4,FALSE))</f>
        <v/>
      </c>
      <c r="K22" s="37" t="str">
        <f>IF($C22="","",VLOOKUP($C22,CTBat!$G$10:$BR$203,K$4,FALSE))</f>
        <v/>
      </c>
      <c r="L22" s="37" t="str">
        <f>IF($C22="","",VLOOKUP($C22,CTBat!$G$10:$BR$203,L$4,FALSE))</f>
        <v/>
      </c>
      <c r="M22" s="58" t="str">
        <f>IF($C22="","",VLOOKUP($C22,CTBat!$G$10:$BR$203,M$4,FALSE))</f>
        <v/>
      </c>
      <c r="N22" s="37" t="str">
        <f>IF($C22="","",VLOOKUP($C22,CTBat!$G$10:$BR$203,N$4,FALSE))</f>
        <v/>
      </c>
      <c r="O22" s="37" t="str">
        <f>IF($C22="","",VLOOKUP($C22,CTBat!$G$10:$BR$203,O$4,FALSE))</f>
        <v/>
      </c>
      <c r="P22" s="37" t="str">
        <f>IF($C22="","",VLOOKUP($C22,CTBat!$G$10:$BR$203,P$4,FALSE))</f>
        <v/>
      </c>
      <c r="Q22" s="37" t="str">
        <f>IF($C22="","",VLOOKUP($C22,CTBat!$G$10:$BR$203,Q$4,FALSE))</f>
        <v/>
      </c>
      <c r="R22" s="37" t="str">
        <f>IF($C22="","",VLOOKUP($C22,CTBat!$G$10:$BR$203,R$4,FALSE))</f>
        <v/>
      </c>
      <c r="S22" s="37" t="str">
        <f>IF($C22="","",VLOOKUP($C22,CTBat!$G$10:$BR$203,S$4,FALSE))</f>
        <v/>
      </c>
      <c r="T22" s="38" t="str">
        <f>IF($C22="","",VLOOKUP($C22,CTBat!$G$10:$BR$203,T$4,FALSE))</f>
        <v/>
      </c>
      <c r="U22" s="275" t="str">
        <f>IF($C22="","",IF(OR(AD22+AG22&gt;14,AND(OR(AD22+AG22&gt;12,AND(AD22&gt;6,AG22&gt;6)),AI22&gt;6,OR(AJ22&gt;=AI22,AJ22&gt;6))),1,0))</f>
        <v/>
      </c>
      <c r="V22" s="275" t="str">
        <f t="shared" si="27"/>
        <v/>
      </c>
      <c r="W22" s="275" t="str">
        <f t="shared" si="46"/>
        <v/>
      </c>
      <c r="X22" s="275" t="str">
        <f t="shared" si="28"/>
        <v/>
      </c>
      <c r="Y22" s="275" t="str">
        <f t="shared" si="29"/>
        <v/>
      </c>
      <c r="Z22" s="275" t="str">
        <f t="shared" si="30"/>
        <v/>
      </c>
      <c r="AA22" s="275" t="str">
        <f t="shared" si="31"/>
        <v/>
      </c>
      <c r="AB22" s="275" t="str">
        <f t="shared" si="32"/>
        <v/>
      </c>
      <c r="AC22" s="275" t="str">
        <f t="shared" si="33"/>
        <v/>
      </c>
      <c r="AD22" s="58" t="str">
        <f>IF($C22="","",VLOOKUP($C22,CTBat!$G$10:$BR$203,AD$4,FALSE))</f>
        <v/>
      </c>
      <c r="AE22" s="37" t="str">
        <f>IF($C22="","",VLOOKUP($C22,CTBat!$G$10:$BR$203,AE$4,FALSE))</f>
        <v/>
      </c>
      <c r="AF22" s="37" t="str">
        <f>IF($C22="","",VLOOKUP($C22,CTBat!$G$10:$BR$203,AF$4,FALSE))</f>
        <v/>
      </c>
      <c r="AG22" s="37" t="str">
        <f>IF($C22="","",VLOOKUP($C22,CTBat!$G$10:$BR$203,AG$4,FALSE))</f>
        <v/>
      </c>
      <c r="AH22" s="37" t="str">
        <f>IF($C22="","",VLOOKUP($C22,CTBat!$G$10:$BR$203,AH$4,FALSE))</f>
        <v/>
      </c>
      <c r="AI22" s="37" t="str">
        <f>IF($C22="","",VLOOKUP($C22,CTBat!$G$10:$BR$203,AI$4,FALSE))</f>
        <v/>
      </c>
      <c r="AJ22" s="38" t="str">
        <f>IF($C22="","",VLOOKUP($C22,CTBat!$G$10:$BR$203,AJ$4,FALSE))</f>
        <v/>
      </c>
      <c r="AK22" s="67" t="str">
        <f t="shared" si="47"/>
        <v/>
      </c>
      <c r="AL22" s="275" t="str">
        <f t="shared" si="34"/>
        <v/>
      </c>
      <c r="AM22" s="275" t="str">
        <f t="shared" si="35"/>
        <v/>
      </c>
      <c r="AN22" s="275" t="str">
        <f t="shared" si="36"/>
        <v/>
      </c>
      <c r="AO22" s="275" t="str">
        <f t="shared" si="37"/>
        <v/>
      </c>
      <c r="AP22" s="275" t="str">
        <f t="shared" si="38"/>
        <v/>
      </c>
      <c r="AQ22" s="275" t="str">
        <f t="shared" si="39"/>
        <v/>
      </c>
      <c r="AR22" s="275" t="str">
        <f t="shared" si="40"/>
        <v/>
      </c>
      <c r="AS22" s="275" t="str">
        <f t="shared" si="41"/>
        <v/>
      </c>
      <c r="AT22" s="275" t="str">
        <f t="shared" si="42"/>
        <v/>
      </c>
      <c r="AU22" s="58" t="str">
        <f>IF($C22="","",VLOOKUP($C22,CTBat!$G$10:$BR$203,AU$4,FALSE))</f>
        <v/>
      </c>
      <c r="AV22" s="37" t="str">
        <f>IF($C22="","",VLOOKUP($C22,CTBat!$G$10:$BR$203,AV$4,FALSE))</f>
        <v/>
      </c>
      <c r="AW22" s="37" t="str">
        <f>IF($C22="","",VLOOKUP($C22,CTBat!$G$10:$BR$203,AW$4,FALSE))</f>
        <v/>
      </c>
      <c r="AX22" s="37" t="str">
        <f>IF($C22="","",VLOOKUP($C22,CTBat!$G$10:$BR$203,AX$4,FALSE))</f>
        <v/>
      </c>
      <c r="AY22" s="38" t="str">
        <f>IF($C22="","",VLOOKUP($C22,CTBat!$G$10:$BR$203,AY$4,FALSE))</f>
        <v/>
      </c>
      <c r="AZ22" s="67" t="str">
        <f t="shared" si="43"/>
        <v/>
      </c>
    </row>
    <row r="23" spans="1:52">
      <c r="A23">
        <v>4</v>
      </c>
      <c r="B23" s="36" t="s">
        <v>101</v>
      </c>
      <c r="C23" s="65"/>
      <c r="D23" s="37" t="str">
        <f>IF($C23="","",VLOOKUP($C23,CTBat!$G$10:$BR$203,D$4,FALSE))</f>
        <v/>
      </c>
      <c r="E23" s="37" t="str">
        <f>IF($C23="","",VLOOKUP($C23,CTBat!$G$10:$BR$203,E$4,FALSE))</f>
        <v/>
      </c>
      <c r="F23" s="53" t="str">
        <f t="shared" si="44"/>
        <v/>
      </c>
      <c r="G23" s="275" t="str">
        <f t="shared" si="25"/>
        <v/>
      </c>
      <c r="H23" s="275" t="str">
        <f t="shared" si="48"/>
        <v/>
      </c>
      <c r="I23" s="276" t="str">
        <f t="shared" si="45"/>
        <v/>
      </c>
      <c r="J23" s="37" t="str">
        <f>IF($C23="","",VLOOKUP($C23,CTBat!$G$10:$BR$203,J$4,FALSE))</f>
        <v/>
      </c>
      <c r="K23" s="37" t="str">
        <f>IF($C23="","",VLOOKUP($C23,CTBat!$G$10:$BR$203,K$4,FALSE))</f>
        <v/>
      </c>
      <c r="L23" s="37" t="str">
        <f>IF($C23="","",VLOOKUP($C23,CTBat!$G$10:$BR$203,L$4,FALSE))</f>
        <v/>
      </c>
      <c r="M23" s="58" t="str">
        <f>IF($C23="","",VLOOKUP($C23,CTBat!$G$10:$BR$203,M$4,FALSE))</f>
        <v/>
      </c>
      <c r="N23" s="37" t="str">
        <f>IF($C23="","",VLOOKUP($C23,CTBat!$G$10:$BR$203,N$4,FALSE))</f>
        <v/>
      </c>
      <c r="O23" s="37" t="str">
        <f>IF($C23="","",VLOOKUP($C23,CTBat!$G$10:$BR$203,O$4,FALSE))</f>
        <v/>
      </c>
      <c r="P23" s="37" t="str">
        <f>IF($C23="","",VLOOKUP($C23,CTBat!$G$10:$BR$203,P$4,FALSE))</f>
        <v/>
      </c>
      <c r="Q23" s="37" t="str">
        <f>IF($C23="","",VLOOKUP($C23,CTBat!$G$10:$BR$203,Q$4,FALSE))</f>
        <v/>
      </c>
      <c r="R23" s="37" t="str">
        <f>IF($C23="","",VLOOKUP($C23,CTBat!$G$10:$BR$203,R$4,FALSE))</f>
        <v/>
      </c>
      <c r="S23" s="37" t="str">
        <f>IF($C23="","",VLOOKUP($C23,CTBat!$G$10:$BR$203,S$4,FALSE))</f>
        <v/>
      </c>
      <c r="T23" s="38" t="str">
        <f>IF($C23="","",VLOOKUP($C23,CTBat!$G$10:$BR$203,T$4,FALSE))</f>
        <v/>
      </c>
      <c r="U23" s="275" t="str">
        <f t="shared" ref="U23:U27" si="49">IF($C23="","",IF(OR(AD23+AG23&gt;14,AND(OR(AD23+AG23&gt;12,AND(AD23&gt;6,AG23&gt;6)),AI23&gt;6,OR(AJ23&gt;=AI23,AJ23&gt;6))),1,0))</f>
        <v/>
      </c>
      <c r="V23" s="275" t="str">
        <f t="shared" si="27"/>
        <v/>
      </c>
      <c r="W23" s="275" t="str">
        <f t="shared" si="46"/>
        <v/>
      </c>
      <c r="X23" s="275" t="str">
        <f t="shared" si="28"/>
        <v/>
      </c>
      <c r="Y23" s="275" t="str">
        <f t="shared" si="29"/>
        <v/>
      </c>
      <c r="Z23" s="275" t="str">
        <f t="shared" si="30"/>
        <v/>
      </c>
      <c r="AA23" s="275" t="str">
        <f t="shared" si="31"/>
        <v/>
      </c>
      <c r="AB23" s="275" t="str">
        <f t="shared" si="32"/>
        <v/>
      </c>
      <c r="AC23" s="275" t="str">
        <f t="shared" si="33"/>
        <v/>
      </c>
      <c r="AD23" s="58" t="str">
        <f>IF($C23="","",VLOOKUP($C23,CTBat!$G$10:$BR$203,AD$4,FALSE))</f>
        <v/>
      </c>
      <c r="AE23" s="37" t="str">
        <f>IF($C23="","",VLOOKUP($C23,CTBat!$G$10:$BR$203,AE$4,FALSE))</f>
        <v/>
      </c>
      <c r="AF23" s="37" t="str">
        <f>IF($C23="","",VLOOKUP($C23,CTBat!$G$10:$BR$203,AF$4,FALSE))</f>
        <v/>
      </c>
      <c r="AG23" s="37" t="str">
        <f>IF($C23="","",VLOOKUP($C23,CTBat!$G$10:$BR$203,AG$4,FALSE))</f>
        <v/>
      </c>
      <c r="AH23" s="37" t="str">
        <f>IF($C23="","",VLOOKUP($C23,CTBat!$G$10:$BR$203,AH$4,FALSE))</f>
        <v/>
      </c>
      <c r="AI23" s="37" t="str">
        <f>IF($C23="","",VLOOKUP($C23,CTBat!$G$10:$BR$203,AI$4,FALSE))</f>
        <v/>
      </c>
      <c r="AJ23" s="38" t="str">
        <f>IF($C23="","",VLOOKUP($C23,CTBat!$G$10:$BR$203,AJ$4,FALSE))</f>
        <v/>
      </c>
      <c r="AK23" s="67" t="str">
        <f t="shared" si="47"/>
        <v/>
      </c>
      <c r="AL23" s="275" t="str">
        <f t="shared" si="34"/>
        <v/>
      </c>
      <c r="AM23" s="275" t="str">
        <f t="shared" si="35"/>
        <v/>
      </c>
      <c r="AN23" s="275" t="str">
        <f t="shared" si="36"/>
        <v/>
      </c>
      <c r="AO23" s="275" t="str">
        <f t="shared" si="37"/>
        <v/>
      </c>
      <c r="AP23" s="275" t="str">
        <f t="shared" si="38"/>
        <v/>
      </c>
      <c r="AQ23" s="275" t="str">
        <f t="shared" si="39"/>
        <v/>
      </c>
      <c r="AR23" s="275" t="str">
        <f t="shared" si="40"/>
        <v/>
      </c>
      <c r="AS23" s="275" t="str">
        <f t="shared" si="41"/>
        <v/>
      </c>
      <c r="AT23" s="275" t="str">
        <f t="shared" si="42"/>
        <v/>
      </c>
      <c r="AU23" s="58" t="str">
        <f>IF($C23="","",VLOOKUP($C23,CTBat!$G$10:$BR$203,AU$4,FALSE))</f>
        <v/>
      </c>
      <c r="AV23" s="37" t="str">
        <f>IF($C23="","",VLOOKUP($C23,CTBat!$G$10:$BR$203,AV$4,FALSE))</f>
        <v/>
      </c>
      <c r="AW23" s="37" t="str">
        <f>IF($C23="","",VLOOKUP($C23,CTBat!$G$10:$BR$203,AW$4,FALSE))</f>
        <v/>
      </c>
      <c r="AX23" s="37" t="str">
        <f>IF($C23="","",VLOOKUP($C23,CTBat!$G$10:$BR$203,AX$4,FALSE))</f>
        <v/>
      </c>
      <c r="AY23" s="38" t="str">
        <f>IF($C23="","",VLOOKUP($C23,CTBat!$G$10:$BR$203,AY$4,FALSE))</f>
        <v/>
      </c>
      <c r="AZ23" s="67" t="str">
        <f t="shared" si="43"/>
        <v/>
      </c>
    </row>
    <row r="24" spans="1:52">
      <c r="A24">
        <v>5</v>
      </c>
      <c r="B24" s="36" t="s">
        <v>101</v>
      </c>
      <c r="C24" s="65"/>
      <c r="D24" s="37" t="str">
        <f>IF($C24="","",VLOOKUP($C24,CTBat!$G$10:$BR$203,D$4,FALSE))</f>
        <v/>
      </c>
      <c r="E24" s="37" t="str">
        <f>IF($C24="","",VLOOKUP($C24,CTBat!$G$10:$BR$203,E$4,FALSE))</f>
        <v/>
      </c>
      <c r="F24" s="53" t="str">
        <f t="shared" si="44"/>
        <v/>
      </c>
      <c r="G24" s="275" t="str">
        <f t="shared" si="25"/>
        <v/>
      </c>
      <c r="H24" s="275" t="str">
        <f t="shared" si="48"/>
        <v/>
      </c>
      <c r="I24" s="276" t="str">
        <f t="shared" si="45"/>
        <v/>
      </c>
      <c r="J24" s="37" t="str">
        <f>IF($C24="","",VLOOKUP($C24,CTBat!$G$10:$BR$203,J$4,FALSE))</f>
        <v/>
      </c>
      <c r="K24" s="37" t="str">
        <f>IF($C24="","",VLOOKUP($C24,CTBat!$G$10:$BR$203,K$4,FALSE))</f>
        <v/>
      </c>
      <c r="L24" s="37" t="str">
        <f>IF($C24="","",VLOOKUP($C24,CTBat!$G$10:$BR$203,L$4,FALSE))</f>
        <v/>
      </c>
      <c r="M24" s="58" t="str">
        <f>IF($C24="","",VLOOKUP($C24,CTBat!$G$10:$BR$203,M$4,FALSE))</f>
        <v/>
      </c>
      <c r="N24" s="37" t="str">
        <f>IF($C24="","",VLOOKUP($C24,CTBat!$G$10:$BR$203,N$4,FALSE))</f>
        <v/>
      </c>
      <c r="O24" s="37" t="str">
        <f>IF($C24="","",VLOOKUP($C24,CTBat!$G$10:$BR$203,O$4,FALSE))</f>
        <v/>
      </c>
      <c r="P24" s="37" t="str">
        <f>IF($C24="","",VLOOKUP($C24,CTBat!$G$10:$BR$203,P$4,FALSE))</f>
        <v/>
      </c>
      <c r="Q24" s="37" t="str">
        <f>IF($C24="","",VLOOKUP($C24,CTBat!$G$10:$BR$203,Q$4,FALSE))</f>
        <v/>
      </c>
      <c r="R24" s="37" t="str">
        <f>IF($C24="","",VLOOKUP($C24,CTBat!$G$10:$BR$203,R$4,FALSE))</f>
        <v/>
      </c>
      <c r="S24" s="37" t="str">
        <f>IF($C24="","",VLOOKUP($C24,CTBat!$G$10:$BR$203,S$4,FALSE))</f>
        <v/>
      </c>
      <c r="T24" s="38" t="str">
        <f>IF($C24="","",VLOOKUP($C24,CTBat!$G$10:$BR$203,T$4,FALSE))</f>
        <v/>
      </c>
      <c r="U24" s="275" t="str">
        <f t="shared" si="49"/>
        <v/>
      </c>
      <c r="V24" s="275" t="str">
        <f t="shared" si="27"/>
        <v/>
      </c>
      <c r="W24" s="275" t="str">
        <f t="shared" si="46"/>
        <v/>
      </c>
      <c r="X24" s="275" t="str">
        <f t="shared" si="28"/>
        <v/>
      </c>
      <c r="Y24" s="275" t="str">
        <f t="shared" si="29"/>
        <v/>
      </c>
      <c r="Z24" s="275" t="str">
        <f t="shared" si="30"/>
        <v/>
      </c>
      <c r="AA24" s="275" t="str">
        <f t="shared" si="31"/>
        <v/>
      </c>
      <c r="AB24" s="275" t="str">
        <f t="shared" si="32"/>
        <v/>
      </c>
      <c r="AC24" s="275" t="str">
        <f t="shared" si="33"/>
        <v/>
      </c>
      <c r="AD24" s="58" t="str">
        <f>IF($C24="","",VLOOKUP($C24,CTBat!$G$10:$BR$203,AD$4,FALSE))</f>
        <v/>
      </c>
      <c r="AE24" s="37" t="str">
        <f>IF($C24="","",VLOOKUP($C24,CTBat!$G$10:$BR$203,AE$4,FALSE))</f>
        <v/>
      </c>
      <c r="AF24" s="37" t="str">
        <f>IF($C24="","",VLOOKUP($C24,CTBat!$G$10:$BR$203,AF$4,FALSE))</f>
        <v/>
      </c>
      <c r="AG24" s="37" t="str">
        <f>IF($C24="","",VLOOKUP($C24,CTBat!$G$10:$BR$203,AG$4,FALSE))</f>
        <v/>
      </c>
      <c r="AH24" s="37" t="str">
        <f>IF($C24="","",VLOOKUP($C24,CTBat!$G$10:$BR$203,AH$4,FALSE))</f>
        <v/>
      </c>
      <c r="AI24" s="37" t="str">
        <f>IF($C24="","",VLOOKUP($C24,CTBat!$G$10:$BR$203,AI$4,FALSE))</f>
        <v/>
      </c>
      <c r="AJ24" s="38" t="str">
        <f>IF($C24="","",VLOOKUP($C24,CTBat!$G$10:$BR$203,AJ$4,FALSE))</f>
        <v/>
      </c>
      <c r="AK24" s="67" t="str">
        <f t="shared" si="47"/>
        <v/>
      </c>
      <c r="AL24" s="275" t="str">
        <f t="shared" si="34"/>
        <v/>
      </c>
      <c r="AM24" s="275" t="str">
        <f t="shared" si="35"/>
        <v/>
      </c>
      <c r="AN24" s="275" t="str">
        <f t="shared" si="36"/>
        <v/>
      </c>
      <c r="AO24" s="275" t="str">
        <f t="shared" si="37"/>
        <v/>
      </c>
      <c r="AP24" s="275" t="str">
        <f t="shared" si="38"/>
        <v/>
      </c>
      <c r="AQ24" s="275" t="str">
        <f t="shared" si="39"/>
        <v/>
      </c>
      <c r="AR24" s="275" t="str">
        <f t="shared" si="40"/>
        <v/>
      </c>
      <c r="AS24" s="275" t="str">
        <f t="shared" si="41"/>
        <v/>
      </c>
      <c r="AT24" s="275" t="str">
        <f t="shared" si="42"/>
        <v/>
      </c>
      <c r="AU24" s="58" t="str">
        <f>IF($C24="","",VLOOKUP($C24,CTBat!$G$10:$BR$203,AU$4,FALSE))</f>
        <v/>
      </c>
      <c r="AV24" s="37" t="str">
        <f>IF($C24="","",VLOOKUP($C24,CTBat!$G$10:$BR$203,AV$4,FALSE))</f>
        <v/>
      </c>
      <c r="AW24" s="37" t="str">
        <f>IF($C24="","",VLOOKUP($C24,CTBat!$G$10:$BR$203,AW$4,FALSE))</f>
        <v/>
      </c>
      <c r="AX24" s="37" t="str">
        <f>IF($C24="","",VLOOKUP($C24,CTBat!$G$10:$BR$203,AX$4,FALSE))</f>
        <v/>
      </c>
      <c r="AY24" s="38" t="str">
        <f>IF($C24="","",VLOOKUP($C24,CTBat!$G$10:$BR$203,AY$4,FALSE))</f>
        <v/>
      </c>
      <c r="AZ24" s="67" t="str">
        <f t="shared" si="43"/>
        <v/>
      </c>
    </row>
    <row r="25" spans="1:52">
      <c r="A25">
        <v>6</v>
      </c>
      <c r="B25" s="36" t="s">
        <v>101</v>
      </c>
      <c r="C25" s="65"/>
      <c r="D25" s="37" t="str">
        <f>IF($C25="","",VLOOKUP($C25,CTBat!$G$10:$BR$203,D$4,FALSE))</f>
        <v/>
      </c>
      <c r="E25" s="37" t="str">
        <f>IF($C25="","",VLOOKUP($C25,CTBat!$G$10:$BR$203,E$4,FALSE))</f>
        <v/>
      </c>
      <c r="F25" s="53" t="str">
        <f t="shared" si="44"/>
        <v/>
      </c>
      <c r="G25" s="275" t="str">
        <f t="shared" si="25"/>
        <v/>
      </c>
      <c r="H25" s="275" t="str">
        <f t="shared" si="48"/>
        <v/>
      </c>
      <c r="I25" s="276" t="str">
        <f t="shared" si="45"/>
        <v/>
      </c>
      <c r="J25" s="37" t="str">
        <f>IF($C25="","",VLOOKUP($C25,CTBat!$G$10:$BR$203,J$4,FALSE))</f>
        <v/>
      </c>
      <c r="K25" s="37" t="str">
        <f>IF($C25="","",VLOOKUP($C25,CTBat!$G$10:$BR$203,K$4,FALSE))</f>
        <v/>
      </c>
      <c r="L25" s="37" t="str">
        <f>IF($C25="","",VLOOKUP($C25,CTBat!$G$10:$BR$203,L$4,FALSE))</f>
        <v/>
      </c>
      <c r="M25" s="58" t="str">
        <f>IF($C25="","",VLOOKUP($C25,CTBat!$G$10:$BR$203,M$4,FALSE))</f>
        <v/>
      </c>
      <c r="N25" s="37" t="str">
        <f>IF($C25="","",VLOOKUP($C25,CTBat!$G$10:$BR$203,N$4,FALSE))</f>
        <v/>
      </c>
      <c r="O25" s="37" t="str">
        <f>IF($C25="","",VLOOKUP($C25,CTBat!$G$10:$BR$203,O$4,FALSE))</f>
        <v/>
      </c>
      <c r="P25" s="37" t="str">
        <f>IF($C25="","",VLOOKUP($C25,CTBat!$G$10:$BR$203,P$4,FALSE))</f>
        <v/>
      </c>
      <c r="Q25" s="37" t="str">
        <f>IF($C25="","",VLOOKUP($C25,CTBat!$G$10:$BR$203,Q$4,FALSE))</f>
        <v/>
      </c>
      <c r="R25" s="37" t="str">
        <f>IF($C25="","",VLOOKUP($C25,CTBat!$G$10:$BR$203,R$4,FALSE))</f>
        <v/>
      </c>
      <c r="S25" s="37" t="str">
        <f>IF($C25="","",VLOOKUP($C25,CTBat!$G$10:$BR$203,S$4,FALSE))</f>
        <v/>
      </c>
      <c r="T25" s="38" t="str">
        <f>IF($C25="","",VLOOKUP($C25,CTBat!$G$10:$BR$203,T$4,FALSE))</f>
        <v/>
      </c>
      <c r="U25" s="275" t="str">
        <f t="shared" si="49"/>
        <v/>
      </c>
      <c r="V25" s="275" t="str">
        <f t="shared" si="27"/>
        <v/>
      </c>
      <c r="W25" s="275" t="str">
        <f t="shared" si="46"/>
        <v/>
      </c>
      <c r="X25" s="275" t="str">
        <f t="shared" si="28"/>
        <v/>
      </c>
      <c r="Y25" s="275" t="str">
        <f t="shared" si="29"/>
        <v/>
      </c>
      <c r="Z25" s="275" t="str">
        <f t="shared" si="30"/>
        <v/>
      </c>
      <c r="AA25" s="275" t="str">
        <f t="shared" si="31"/>
        <v/>
      </c>
      <c r="AB25" s="275" t="str">
        <f t="shared" si="32"/>
        <v/>
      </c>
      <c r="AC25" s="275" t="str">
        <f t="shared" si="33"/>
        <v/>
      </c>
      <c r="AD25" s="58" t="str">
        <f>IF($C25="","",VLOOKUP($C25,CTBat!$G$10:$BR$203,AD$4,FALSE))</f>
        <v/>
      </c>
      <c r="AE25" s="37" t="str">
        <f>IF($C25="","",VLOOKUP($C25,CTBat!$G$10:$BR$203,AE$4,FALSE))</f>
        <v/>
      </c>
      <c r="AF25" s="37" t="str">
        <f>IF($C25="","",VLOOKUP($C25,CTBat!$G$10:$BR$203,AF$4,FALSE))</f>
        <v/>
      </c>
      <c r="AG25" s="37" t="str">
        <f>IF($C25="","",VLOOKUP($C25,CTBat!$G$10:$BR$203,AG$4,FALSE))</f>
        <v/>
      </c>
      <c r="AH25" s="37" t="str">
        <f>IF($C25="","",VLOOKUP($C25,CTBat!$G$10:$BR$203,AH$4,FALSE))</f>
        <v/>
      </c>
      <c r="AI25" s="37" t="str">
        <f>IF($C25="","",VLOOKUP($C25,CTBat!$G$10:$BR$203,AI$4,FALSE))</f>
        <v/>
      </c>
      <c r="AJ25" s="38" t="str">
        <f>IF($C25="","",VLOOKUP($C25,CTBat!$G$10:$BR$203,AJ$4,FALSE))</f>
        <v/>
      </c>
      <c r="AK25" s="67" t="str">
        <f t="shared" si="47"/>
        <v/>
      </c>
      <c r="AL25" s="275" t="str">
        <f t="shared" si="34"/>
        <v/>
      </c>
      <c r="AM25" s="275" t="str">
        <f t="shared" si="35"/>
        <v/>
      </c>
      <c r="AN25" s="275" t="str">
        <f t="shared" si="36"/>
        <v/>
      </c>
      <c r="AO25" s="275" t="str">
        <f t="shared" si="37"/>
        <v/>
      </c>
      <c r="AP25" s="275" t="str">
        <f t="shared" si="38"/>
        <v/>
      </c>
      <c r="AQ25" s="275" t="str">
        <f t="shared" si="39"/>
        <v/>
      </c>
      <c r="AR25" s="275" t="str">
        <f t="shared" si="40"/>
        <v/>
      </c>
      <c r="AS25" s="275" t="str">
        <f t="shared" si="41"/>
        <v/>
      </c>
      <c r="AT25" s="275" t="str">
        <f t="shared" si="42"/>
        <v/>
      </c>
      <c r="AU25" s="58" t="str">
        <f>IF($C25="","",VLOOKUP($C25,CTBat!$G$10:$BR$203,AU$4,FALSE))</f>
        <v/>
      </c>
      <c r="AV25" s="37" t="str">
        <f>IF($C25="","",VLOOKUP($C25,CTBat!$G$10:$BR$203,AV$4,FALSE))</f>
        <v/>
      </c>
      <c r="AW25" s="37" t="str">
        <f>IF($C25="","",VLOOKUP($C25,CTBat!$G$10:$BR$203,AW$4,FALSE))</f>
        <v/>
      </c>
      <c r="AX25" s="37" t="str">
        <f>IF($C25="","",VLOOKUP($C25,CTBat!$G$10:$BR$203,AX$4,FALSE))</f>
        <v/>
      </c>
      <c r="AY25" s="38" t="str">
        <f>IF($C25="","",VLOOKUP($C25,CTBat!$G$10:$BR$203,AY$4,FALSE))</f>
        <v/>
      </c>
      <c r="AZ25" s="67" t="str">
        <f t="shared" si="43"/>
        <v/>
      </c>
    </row>
    <row r="26" spans="1:52">
      <c r="A26">
        <v>7</v>
      </c>
      <c r="B26" s="36" t="s">
        <v>101</v>
      </c>
      <c r="C26" s="65"/>
      <c r="D26" s="37" t="str">
        <f>IF($C26="","",VLOOKUP($C26,CTBat!$G$10:$BR$203,D$4,FALSE))</f>
        <v/>
      </c>
      <c r="E26" s="37" t="str">
        <f>IF($C26="","",VLOOKUP($C26,CTBat!$G$10:$BR$203,E$4,FALSE))</f>
        <v/>
      </c>
      <c r="F26" s="53" t="str">
        <f t="shared" si="44"/>
        <v/>
      </c>
      <c r="G26" s="275" t="str">
        <f t="shared" si="25"/>
        <v/>
      </c>
      <c r="H26" s="275" t="str">
        <f t="shared" si="48"/>
        <v/>
      </c>
      <c r="I26" s="276" t="str">
        <f t="shared" si="45"/>
        <v/>
      </c>
      <c r="J26" s="37" t="str">
        <f>IF($C26="","",VLOOKUP($C26,CTBat!$G$10:$BR$203,J$4,FALSE))</f>
        <v/>
      </c>
      <c r="K26" s="37" t="str">
        <f>IF($C26="","",VLOOKUP($C26,CTBat!$G$10:$BR$203,K$4,FALSE))</f>
        <v/>
      </c>
      <c r="L26" s="37" t="str">
        <f>IF($C26="","",VLOOKUP($C26,CTBat!$G$10:$BR$203,L$4,FALSE))</f>
        <v/>
      </c>
      <c r="M26" s="58" t="str">
        <f>IF($C26="","",VLOOKUP($C26,CTBat!$G$10:$BR$203,M$4,FALSE))</f>
        <v/>
      </c>
      <c r="N26" s="37" t="str">
        <f>IF($C26="","",VLOOKUP($C26,CTBat!$G$10:$BR$203,N$4,FALSE))</f>
        <v/>
      </c>
      <c r="O26" s="37" t="str">
        <f>IF($C26="","",VLOOKUP($C26,CTBat!$G$10:$BR$203,O$4,FALSE))</f>
        <v/>
      </c>
      <c r="P26" s="37" t="str">
        <f>IF($C26="","",VLOOKUP($C26,CTBat!$G$10:$BR$203,P$4,FALSE))</f>
        <v/>
      </c>
      <c r="Q26" s="37" t="str">
        <f>IF($C26="","",VLOOKUP($C26,CTBat!$G$10:$BR$203,Q$4,FALSE))</f>
        <v/>
      </c>
      <c r="R26" s="37" t="str">
        <f>IF($C26="","",VLOOKUP($C26,CTBat!$G$10:$BR$203,R$4,FALSE))</f>
        <v/>
      </c>
      <c r="S26" s="37" t="str">
        <f>IF($C26="","",VLOOKUP($C26,CTBat!$G$10:$BR$203,S$4,FALSE))</f>
        <v/>
      </c>
      <c r="T26" s="38" t="str">
        <f>IF($C26="","",VLOOKUP($C26,CTBat!$G$10:$BR$203,T$4,FALSE))</f>
        <v/>
      </c>
      <c r="U26" s="275" t="str">
        <f t="shared" si="49"/>
        <v/>
      </c>
      <c r="V26" s="275" t="str">
        <f t="shared" si="27"/>
        <v/>
      </c>
      <c r="W26" s="275" t="str">
        <f t="shared" si="46"/>
        <v/>
      </c>
      <c r="X26" s="275" t="str">
        <f t="shared" si="28"/>
        <v/>
      </c>
      <c r="Y26" s="275" t="str">
        <f t="shared" si="29"/>
        <v/>
      </c>
      <c r="Z26" s="275" t="str">
        <f t="shared" si="30"/>
        <v/>
      </c>
      <c r="AA26" s="275" t="str">
        <f t="shared" si="31"/>
        <v/>
      </c>
      <c r="AB26" s="275" t="str">
        <f t="shared" si="32"/>
        <v/>
      </c>
      <c r="AC26" s="275" t="str">
        <f t="shared" si="33"/>
        <v/>
      </c>
      <c r="AD26" s="58" t="str">
        <f>IF($C26="","",VLOOKUP($C26,CTBat!$G$10:$BR$203,AD$4,FALSE))</f>
        <v/>
      </c>
      <c r="AE26" s="37" t="str">
        <f>IF($C26="","",VLOOKUP($C26,CTBat!$G$10:$BR$203,AE$4,FALSE))</f>
        <v/>
      </c>
      <c r="AF26" s="37" t="str">
        <f>IF($C26="","",VLOOKUP($C26,CTBat!$G$10:$BR$203,AF$4,FALSE))</f>
        <v/>
      </c>
      <c r="AG26" s="37" t="str">
        <f>IF($C26="","",VLOOKUP($C26,CTBat!$G$10:$BR$203,AG$4,FALSE))</f>
        <v/>
      </c>
      <c r="AH26" s="37" t="str">
        <f>IF($C26="","",VLOOKUP($C26,CTBat!$G$10:$BR$203,AH$4,FALSE))</f>
        <v/>
      </c>
      <c r="AI26" s="37" t="str">
        <f>IF($C26="","",VLOOKUP($C26,CTBat!$G$10:$BR$203,AI$4,FALSE))</f>
        <v/>
      </c>
      <c r="AJ26" s="38" t="str">
        <f>IF($C26="","",VLOOKUP($C26,CTBat!$G$10:$BR$203,AJ$4,FALSE))</f>
        <v/>
      </c>
      <c r="AK26" s="67" t="str">
        <f t="shared" si="47"/>
        <v/>
      </c>
      <c r="AL26" s="275" t="str">
        <f t="shared" si="34"/>
        <v/>
      </c>
      <c r="AM26" s="275" t="str">
        <f t="shared" si="35"/>
        <v/>
      </c>
      <c r="AN26" s="275" t="str">
        <f t="shared" si="36"/>
        <v/>
      </c>
      <c r="AO26" s="275" t="str">
        <f t="shared" si="37"/>
        <v/>
      </c>
      <c r="AP26" s="275" t="str">
        <f t="shared" si="38"/>
        <v/>
      </c>
      <c r="AQ26" s="275" t="str">
        <f t="shared" si="39"/>
        <v/>
      </c>
      <c r="AR26" s="275" t="str">
        <f t="shared" si="40"/>
        <v/>
      </c>
      <c r="AS26" s="275" t="str">
        <f t="shared" si="41"/>
        <v/>
      </c>
      <c r="AT26" s="275" t="str">
        <f t="shared" si="42"/>
        <v/>
      </c>
      <c r="AU26" s="58" t="str">
        <f>IF($C26="","",VLOOKUP($C26,CTBat!$G$10:$BR$203,AU$4,FALSE))</f>
        <v/>
      </c>
      <c r="AV26" s="37" t="str">
        <f>IF($C26="","",VLOOKUP($C26,CTBat!$G$10:$BR$203,AV$4,FALSE))</f>
        <v/>
      </c>
      <c r="AW26" s="37" t="str">
        <f>IF($C26="","",VLOOKUP($C26,CTBat!$G$10:$BR$203,AW$4,FALSE))</f>
        <v/>
      </c>
      <c r="AX26" s="37" t="str">
        <f>IF($C26="","",VLOOKUP($C26,CTBat!$G$10:$BR$203,AX$4,FALSE))</f>
        <v/>
      </c>
      <c r="AY26" s="38" t="str">
        <f>IF($C26="","",VLOOKUP($C26,CTBat!$G$10:$BR$203,AY$4,FALSE))</f>
        <v/>
      </c>
      <c r="AZ26" s="67" t="str">
        <f t="shared" si="43"/>
        <v/>
      </c>
    </row>
    <row r="27" spans="1:52">
      <c r="A27">
        <v>8</v>
      </c>
      <c r="B27" s="39" t="s">
        <v>101</v>
      </c>
      <c r="C27" s="40"/>
      <c r="D27" s="40" t="str">
        <f>IF($C27="","",VLOOKUP($C27,CTBat!$G$10:$BR$203,D$4,FALSE))</f>
        <v/>
      </c>
      <c r="E27" s="40" t="str">
        <f>IF($C27="","",VLOOKUP($C27,CTBat!$G$10:$BR$203,E$4,FALSE))</f>
        <v/>
      </c>
      <c r="F27" s="54" t="str">
        <f t="shared" si="44"/>
        <v/>
      </c>
      <c r="G27" s="273" t="str">
        <f>IF($C27="","",IF(Q27&lt;&gt;"-",1,0))</f>
        <v/>
      </c>
      <c r="H27" s="273" t="str">
        <f t="shared" si="48"/>
        <v/>
      </c>
      <c r="I27" s="274" t="str">
        <f t="shared" si="45"/>
        <v/>
      </c>
      <c r="J27" s="40" t="str">
        <f>IF($C27="","",VLOOKUP($C27,CTBat!$G$10:$BR$203,J$4,FALSE))</f>
        <v/>
      </c>
      <c r="K27" s="40" t="str">
        <f>IF($C27="","",VLOOKUP($C27,CTBat!$G$10:$BR$203,K$4,FALSE))</f>
        <v/>
      </c>
      <c r="L27" s="40" t="str">
        <f>IF($C27="","",VLOOKUP($C27,CTBat!$G$10:$BR$203,L$4,FALSE))</f>
        <v/>
      </c>
      <c r="M27" s="59" t="str">
        <f>IF($C27="","",VLOOKUP($C27,CTBat!$G$10:$BR$203,M$4,FALSE))</f>
        <v/>
      </c>
      <c r="N27" s="40" t="str">
        <f>IF($C27="","",VLOOKUP($C27,CTBat!$G$10:$BR$203,N$4,FALSE))</f>
        <v/>
      </c>
      <c r="O27" s="40" t="str">
        <f>IF($C27="","",VLOOKUP($C27,CTBat!$G$10:$BR$203,O$4,FALSE))</f>
        <v/>
      </c>
      <c r="P27" s="40" t="str">
        <f>IF($C27="","",VLOOKUP($C27,CTBat!$G$10:$BR$203,P$4,FALSE))</f>
        <v/>
      </c>
      <c r="Q27" s="40" t="str">
        <f>IF($C27="","",VLOOKUP($C27,CTBat!$G$10:$BR$203,Q$4,FALSE))</f>
        <v/>
      </c>
      <c r="R27" s="40" t="str">
        <f>IF($C27="","",VLOOKUP($C27,CTBat!$G$10:$BR$203,R$4,FALSE))</f>
        <v/>
      </c>
      <c r="S27" s="40" t="str">
        <f>IF($C27="","",VLOOKUP($C27,CTBat!$G$10:$BR$203,S$4,FALSE))</f>
        <v/>
      </c>
      <c r="T27" s="42" t="str">
        <f>IF($C27="","",VLOOKUP($C27,CTBat!$G$10:$BR$203,T$4,FALSE))</f>
        <v/>
      </c>
      <c r="U27" s="273" t="str">
        <f t="shared" si="49"/>
        <v/>
      </c>
      <c r="V27" s="273" t="str">
        <f t="shared" si="27"/>
        <v/>
      </c>
      <c r="W27" s="273" t="str">
        <f t="shared" si="46"/>
        <v/>
      </c>
      <c r="X27" s="273" t="str">
        <f t="shared" si="28"/>
        <v/>
      </c>
      <c r="Y27" s="273" t="str">
        <f t="shared" si="29"/>
        <v/>
      </c>
      <c r="Z27" s="273" t="str">
        <f t="shared" si="30"/>
        <v/>
      </c>
      <c r="AA27" s="273" t="str">
        <f t="shared" si="31"/>
        <v/>
      </c>
      <c r="AB27" s="273" t="str">
        <f t="shared" si="32"/>
        <v/>
      </c>
      <c r="AC27" s="273" t="str">
        <f t="shared" si="33"/>
        <v/>
      </c>
      <c r="AD27" s="59" t="str">
        <f>IF($C27="","",VLOOKUP($C27,CTBat!$G$10:$BR$203,AD$4,FALSE))</f>
        <v/>
      </c>
      <c r="AE27" s="40" t="str">
        <f>IF($C27="","",VLOOKUP($C27,CTBat!$G$10:$BR$203,AE$4,FALSE))</f>
        <v/>
      </c>
      <c r="AF27" s="40" t="str">
        <f>IF($C27="","",VLOOKUP($C27,CTBat!$G$10:$BR$203,AF$4,FALSE))</f>
        <v/>
      </c>
      <c r="AG27" s="40" t="str">
        <f>IF($C27="","",VLOOKUP($C27,CTBat!$G$10:$BR$203,AG$4,FALSE))</f>
        <v/>
      </c>
      <c r="AH27" s="40" t="str">
        <f>IF($C27="","",VLOOKUP($C27,CTBat!$G$10:$BR$203,AH$4,FALSE))</f>
        <v/>
      </c>
      <c r="AI27" s="40" t="str">
        <f>IF($C27="","",VLOOKUP($C27,CTBat!$G$10:$BR$203,AI$4,FALSE))</f>
        <v/>
      </c>
      <c r="AJ27" s="42" t="str">
        <f>IF($C27="","",VLOOKUP($C27,CTBat!$G$10:$BR$203,AJ$4,FALSE))</f>
        <v/>
      </c>
      <c r="AK27" s="68" t="str">
        <f t="shared" si="47"/>
        <v/>
      </c>
      <c r="AL27" s="273" t="str">
        <f t="shared" si="34"/>
        <v/>
      </c>
      <c r="AM27" s="273" t="str">
        <f t="shared" si="35"/>
        <v/>
      </c>
      <c r="AN27" s="273" t="str">
        <f t="shared" si="36"/>
        <v/>
      </c>
      <c r="AO27" s="273" t="str">
        <f t="shared" si="37"/>
        <v/>
      </c>
      <c r="AP27" s="273" t="str">
        <f t="shared" si="38"/>
        <v/>
      </c>
      <c r="AQ27" s="273" t="str">
        <f t="shared" si="39"/>
        <v/>
      </c>
      <c r="AR27" s="273" t="str">
        <f t="shared" si="40"/>
        <v/>
      </c>
      <c r="AS27" s="273" t="str">
        <f t="shared" si="41"/>
        <v/>
      </c>
      <c r="AT27" s="273" t="str">
        <f t="shared" si="42"/>
        <v/>
      </c>
      <c r="AU27" s="59" t="str">
        <f>IF($C27="","",VLOOKUP($C27,CTBat!$G$10:$BR$203,AU$4,FALSE))</f>
        <v/>
      </c>
      <c r="AV27" s="40" t="str">
        <f>IF($C27="","",VLOOKUP($C27,CTBat!$G$10:$BR$203,AV$4,FALSE))</f>
        <v/>
      </c>
      <c r="AW27" s="40" t="str">
        <f>IF($C27="","",VLOOKUP($C27,CTBat!$G$10:$BR$203,AW$4,FALSE))</f>
        <v/>
      </c>
      <c r="AX27" s="40" t="str">
        <f>IF($C27="","",VLOOKUP($C27,CTBat!$G$10:$BR$203,AX$4,FALSE))</f>
        <v/>
      </c>
      <c r="AY27" s="42" t="str">
        <f>IF($C27="","",VLOOKUP($C27,CTBat!$G$10:$BR$203,AY$4,FALSE))</f>
        <v/>
      </c>
      <c r="AZ27" s="68" t="str">
        <f t="shared" si="43"/>
        <v/>
      </c>
    </row>
    <row r="29" spans="1:52" ht="196.5">
      <c r="A29" s="25" t="s">
        <v>193</v>
      </c>
      <c r="B29" s="270" t="s">
        <v>133</v>
      </c>
      <c r="C29" s="44" t="str">
        <f>"Player ("&amp;COUNTA(C30:C33)&amp;")"</f>
        <v>Player (0)</v>
      </c>
      <c r="D29" s="44" t="s">
        <v>91</v>
      </c>
      <c r="E29" s="44" t="s">
        <v>101</v>
      </c>
      <c r="F29" s="64" t="str">
        <f>"Strong C Arm ("&amp;SUM(F30:F33)&amp;")"</f>
        <v>Strong C Arm (0)</v>
      </c>
      <c r="G29" s="48" t="s">
        <v>41</v>
      </c>
      <c r="H29" s="48" t="s">
        <v>41</v>
      </c>
      <c r="I29" s="48" t="s">
        <v>41</v>
      </c>
      <c r="J29" s="55" t="s">
        <v>136</v>
      </c>
      <c r="K29" s="47" t="s">
        <v>134</v>
      </c>
      <c r="L29" s="56" t="s">
        <v>135</v>
      </c>
      <c r="M29" s="48" t="s">
        <v>92</v>
      </c>
      <c r="N29" s="48" t="s">
        <v>94</v>
      </c>
      <c r="O29" s="48" t="s">
        <v>95</v>
      </c>
      <c r="P29" s="48" t="s">
        <v>96</v>
      </c>
      <c r="Q29" s="48" t="s">
        <v>97</v>
      </c>
      <c r="R29" s="48" t="s">
        <v>98</v>
      </c>
      <c r="S29" s="48" t="s">
        <v>99</v>
      </c>
      <c r="T29" s="49" t="s">
        <v>100</v>
      </c>
      <c r="U29" s="45" t="s">
        <v>137</v>
      </c>
      <c r="V29" s="45" t="s">
        <v>181</v>
      </c>
      <c r="W29" s="45" t="s">
        <v>138</v>
      </c>
      <c r="X29" s="45" t="s">
        <v>139</v>
      </c>
      <c r="Y29" s="45" t="s">
        <v>140</v>
      </c>
      <c r="Z29" s="45" t="s">
        <v>141</v>
      </c>
      <c r="AA29" s="45" t="s">
        <v>142</v>
      </c>
      <c r="AB29" s="45" t="s">
        <v>144</v>
      </c>
      <c r="AC29" s="60" t="s">
        <v>143</v>
      </c>
      <c r="AD29" s="48" t="s">
        <v>147</v>
      </c>
      <c r="AE29" s="48" t="s">
        <v>148</v>
      </c>
      <c r="AF29" s="48" t="s">
        <v>149</v>
      </c>
      <c r="AG29" s="48" t="s">
        <v>150</v>
      </c>
      <c r="AH29" s="48" t="s">
        <v>29</v>
      </c>
      <c r="AI29" s="48" t="s">
        <v>151</v>
      </c>
      <c r="AJ29" s="49" t="s">
        <v>152</v>
      </c>
      <c r="AK29" s="66" t="s">
        <v>157</v>
      </c>
      <c r="AL29" s="45" t="s">
        <v>137</v>
      </c>
      <c r="AM29" s="45" t="s">
        <v>181</v>
      </c>
      <c r="AN29" s="45" t="s">
        <v>138</v>
      </c>
      <c r="AO29" s="45" t="s">
        <v>139</v>
      </c>
      <c r="AP29" s="45" t="s">
        <v>140</v>
      </c>
      <c r="AQ29" s="45" t="s">
        <v>141</v>
      </c>
      <c r="AR29" s="45" t="s">
        <v>142</v>
      </c>
      <c r="AS29" s="45" t="s">
        <v>144</v>
      </c>
      <c r="AT29" s="60" t="s">
        <v>143</v>
      </c>
      <c r="AU29" s="63" t="s">
        <v>147</v>
      </c>
      <c r="AV29" s="48" t="s">
        <v>148</v>
      </c>
      <c r="AW29" s="48" t="s">
        <v>149</v>
      </c>
      <c r="AX29" s="48" t="s">
        <v>150</v>
      </c>
      <c r="AY29" s="49" t="s">
        <v>29</v>
      </c>
      <c r="AZ29" s="66" t="s">
        <v>197</v>
      </c>
    </row>
    <row r="30" spans="1:52">
      <c r="A30">
        <v>1</v>
      </c>
      <c r="B30" s="36" t="s">
        <v>92</v>
      </c>
      <c r="C30" s="37"/>
      <c r="D30" s="37" t="str">
        <f>IF($C30="","",VLOOKUP($C30,CTBat!$G$10:$BR$203,D$4,FALSE))</f>
        <v/>
      </c>
      <c r="E30" s="37" t="str">
        <f>IF($C30="","",VLOOKUP($C30,CTBat!$G$10:$BR$203,E$4,FALSE))</f>
        <v/>
      </c>
      <c r="F30" s="53" t="str">
        <f>IF($C30="","",IF(J30&gt;5,1,0))</f>
        <v/>
      </c>
      <c r="G30" s="275" t="str">
        <f t="shared" ref="G30:H33" si="50">IF($C30="","","-")</f>
        <v/>
      </c>
      <c r="H30" s="275" t="str">
        <f t="shared" si="50"/>
        <v/>
      </c>
      <c r="I30" s="275" t="str">
        <f>IF($C30="","","-")</f>
        <v/>
      </c>
      <c r="J30" s="58" t="str">
        <f>IF($C30="","",VLOOKUP($C30,CTBat!$G$10:$BR$203,J$4,FALSE))</f>
        <v/>
      </c>
      <c r="K30" s="37" t="str">
        <f>IF($C30="","",VLOOKUP($C30,CTBat!$G$10:$BR$203,K$4,FALSE))</f>
        <v/>
      </c>
      <c r="L30" s="38" t="str">
        <f>IF($C30="","",VLOOKUP($C30,CTBat!$G$10:$BR$203,L$4,FALSE))</f>
        <v/>
      </c>
      <c r="M30" s="37" t="str">
        <f>IF($C30="","",VLOOKUP($C30,CTBat!$G$10:$BR$203,M$4,FALSE))</f>
        <v/>
      </c>
      <c r="N30" s="37" t="str">
        <f>IF($C30="","",VLOOKUP($C30,CTBat!$G$10:$BR$203,N$4,FALSE))</f>
        <v/>
      </c>
      <c r="O30" s="37" t="str">
        <f>IF($C30="","",VLOOKUP($C30,CTBat!$G$10:$BR$203,O$4,FALSE))</f>
        <v/>
      </c>
      <c r="P30" s="37" t="str">
        <f>IF($C30="","",VLOOKUP($C30,CTBat!$G$10:$BR$203,P$4,FALSE))</f>
        <v/>
      </c>
      <c r="Q30" s="37" t="str">
        <f>IF($C30="","",VLOOKUP($C30,CTBat!$G$10:$BR$203,Q$4,FALSE))</f>
        <v/>
      </c>
      <c r="R30" s="37" t="str">
        <f>IF($C30="","",VLOOKUP($C30,CTBat!$G$10:$BR$203,R$4,FALSE))</f>
        <v/>
      </c>
      <c r="S30" s="37" t="str">
        <f>IF($C30="","",VLOOKUP($C30,CTBat!$G$10:$BR$203,S$4,FALSE))</f>
        <v/>
      </c>
      <c r="T30" s="38" t="str">
        <f>IF($C30="","",VLOOKUP($C30,CTBat!$G$10:$BR$203,T$4,FALSE))</f>
        <v/>
      </c>
      <c r="U30" s="275" t="str">
        <f t="shared" ref="U30:U33" si="51">IF($C30="","",IF(OR(AD30+AG30&gt;14,AND(OR(AD30+AG30&gt;12,AND(AD30&gt;6,AG30&gt;6)),AI30&gt;6,OR(AJ30&gt;=AI30,AJ30&gt;6))),1,0))</f>
        <v/>
      </c>
      <c r="V30" s="275" t="str">
        <f t="shared" ref="V30:V33" si="52">IF($C30="","",IF(OR(AND(AD30&gt;6,AH30&gt;6),AD30+AG30&gt;12),1,0))</f>
        <v/>
      </c>
      <c r="W30" s="275" t="str">
        <f t="shared" ref="W30:W33" si="53">IF($C30="","",IF(AND(AD30&gt;6,AF30&gt;6,AG30&gt;6),1,0))</f>
        <v/>
      </c>
      <c r="X30" s="275" t="str">
        <f t="shared" ref="X30:X33" si="54">IF($C30="","",IF(AND(AF30&gt;7,OR(AD30&gt;6,AG30&gt;6)),1,0))</f>
        <v/>
      </c>
      <c r="Y30" s="275" t="str">
        <f t="shared" ref="Y30:Y33" si="55">IF($C30="","",IF(AND(AF30&gt;6,OR(AD30&gt;6,AG30&gt;6)),1,0))</f>
        <v/>
      </c>
      <c r="Z30" s="275" t="str">
        <f t="shared" ref="Z30:Z33" si="56">IF($C30="","",IF(AND(OR(AD30&gt;6,AF30&gt;6),OR(AD30&gt;6,AG30&gt;6)),1,0))</f>
        <v/>
      </c>
      <c r="AA30" s="275" t="str">
        <f t="shared" ref="AA30:AA33" si="57">IF($C30="","",IF(AND(AD30&gt;4,OR(AD30&gt;6,AF30&gt;6,AG30&gt;6)),1,0))</f>
        <v/>
      </c>
      <c r="AB30" s="275" t="str">
        <f t="shared" ref="AB30:AB33" si="58">IF($C30="","",IF(AND(AD30&gt;4,OR(AD30&gt;6,AE30&gt;6,AF30&gt;6,AG30&gt;6)),1,0))</f>
        <v/>
      </c>
      <c r="AC30" s="276" t="str">
        <f t="shared" ref="AC30:AC33" si="59">IF($C30="","",IF(AND(AD30&gt;4,MAX(AD30:AH30)&gt;6),1,0))</f>
        <v/>
      </c>
      <c r="AD30" s="37" t="str">
        <f>IF($C30="","",VLOOKUP($C30,CTBat!$G$10:$BR$203,AD$4,FALSE))</f>
        <v/>
      </c>
      <c r="AE30" s="37" t="str">
        <f>IF($C30="","",VLOOKUP($C30,CTBat!$G$10:$BR$203,AE$4,FALSE))</f>
        <v/>
      </c>
      <c r="AF30" s="37" t="str">
        <f>IF($C30="","",VLOOKUP($C30,CTBat!$G$10:$BR$203,AF$4,FALSE))</f>
        <v/>
      </c>
      <c r="AG30" s="37" t="str">
        <f>IF($C30="","",VLOOKUP($C30,CTBat!$G$10:$BR$203,AG$4,FALSE))</f>
        <v/>
      </c>
      <c r="AH30" s="37" t="str">
        <f>IF($C30="","",VLOOKUP($C30,CTBat!$G$10:$BR$203,AH$4,FALSE))</f>
        <v/>
      </c>
      <c r="AI30" s="37" t="str">
        <f>IF($C30="","",VLOOKUP($C30,CTBat!$G$10:$BR$203,AI$4,FALSE))</f>
        <v/>
      </c>
      <c r="AJ30" s="38" t="str">
        <f>IF($C30="","",VLOOKUP($C30,CTBat!$G$10:$BR$203,AJ$4,FALSE))</f>
        <v/>
      </c>
      <c r="AK30" s="67" t="str">
        <f>IF($C30="","",(5*AD30+4*AF30+3*AG30+2*AE30+1*AH30+0.5*(AVERAGE(AD30:AE30))+0.5*AVERAGE(AD30,AH30)+1*(AVERAGE(AD30,AF30))+1*AVERAGE(AD30,AG30))/(5+4+3+2+1+0.5+0.5+1+1))</f>
        <v/>
      </c>
      <c r="AL30" s="275" t="str">
        <f t="shared" ref="AL30:AL33" si="60">IF($C30="","",IF(AND(OR(AU30+AX30&gt;12,AND(AU30&gt;6,AX30&gt;6)),AI30&gt;6,OR(AJ30&gt;=AI30,AJ30&gt;6)),1,0))</f>
        <v/>
      </c>
      <c r="AM30" s="275" t="str">
        <f t="shared" ref="AM30:AM33" si="61">IF($C30="","",IF(OR(AND(AU30&gt;6,AY30&gt;6),AU30+AX30&gt;12),1,0))</f>
        <v/>
      </c>
      <c r="AN30" s="275" t="str">
        <f t="shared" ref="AN30:AN33" si="62">IF($C30="","",IF(AND(AU30&gt;6,AW30&gt;6,AX30&gt;6),1,0))</f>
        <v/>
      </c>
      <c r="AO30" s="275" t="str">
        <f t="shared" ref="AO30:AO33" si="63">IF($C30="","",IF(AND(AW30&gt;7,OR(AU30&gt;6,AX30&gt;6)),1,0))</f>
        <v/>
      </c>
      <c r="AP30" s="275" t="str">
        <f t="shared" ref="AP30:AP33" si="64">IF($C30="","",IF(AND(AW30&gt;6,OR(AU30&gt;6,AX30&gt;6)),1,0))</f>
        <v/>
      </c>
      <c r="AQ30" s="275" t="str">
        <f t="shared" ref="AQ30:AQ33" si="65">IF($C30="","",IF(AND(OR(AU30&gt;6,AW30&gt;6),OR(AU30&gt;6,AX30&gt;6)),1,0))</f>
        <v/>
      </c>
      <c r="AR30" s="275" t="str">
        <f t="shared" ref="AR30:AR33" si="66">IF($C30="","",IF(AND(AU30&gt;4,OR(AU30&gt;6,AW30&gt;6,AX30&gt;6)),1,0))</f>
        <v/>
      </c>
      <c r="AS30" s="275" t="str">
        <f t="shared" ref="AS30:AS33" si="67">IF($C30="","",IF(AND(AU30&gt;4,OR(AU30&gt;6,AV30&gt;6,AW30&gt;6,AX30&gt;6)),1,0))</f>
        <v/>
      </c>
      <c r="AT30" s="276" t="str">
        <f t="shared" ref="AT30:AT33" si="68">IF($C30="","",IF(AND(AU30&gt;4,MAX(AU30:AY30)&gt;6),1,0))</f>
        <v/>
      </c>
      <c r="AU30" s="58" t="str">
        <f>IF($C30="","",VLOOKUP($C30,CTBat!$G$10:$BR$203,AU$4,FALSE))</f>
        <v/>
      </c>
      <c r="AV30" s="37" t="str">
        <f>IF($C30="","",VLOOKUP($C30,CTBat!$G$10:$BR$203,AV$4,FALSE))</f>
        <v/>
      </c>
      <c r="AW30" s="37" t="str">
        <f>IF($C30="","",VLOOKUP($C30,CTBat!$G$10:$BR$203,AW$4,FALSE))</f>
        <v/>
      </c>
      <c r="AX30" s="37" t="str">
        <f>IF($C30="","",VLOOKUP($C30,CTBat!$G$10:$BR$203,AX$4,FALSE))</f>
        <v/>
      </c>
      <c r="AY30" s="38" t="str">
        <f>IF($C30="","",VLOOKUP($C30,CTBat!$G$10:$BR$203,AY$4,FALSE))</f>
        <v/>
      </c>
      <c r="AZ30" s="67" t="str">
        <f t="shared" ref="AZ30:AZ33" si="69">IF($C30="","",(5*AU30+4*AW30+3*AX30+2*AV30+1*AY30+0.5*(AVERAGE(AU30:AV30))+0.5*AVERAGE(AU30,AY30)+1*(AVERAGE(AU30,AW30))+1*AVERAGE(AU30,AX30))/(5+4+3+2+1+0.5+0.5+1+1))</f>
        <v/>
      </c>
    </row>
    <row r="31" spans="1:52">
      <c r="A31">
        <v>2</v>
      </c>
      <c r="B31" s="36" t="s">
        <v>101</v>
      </c>
      <c r="C31" s="37"/>
      <c r="D31" s="37" t="str">
        <f>IF($C31="","",VLOOKUP($C31,CTBat!$G$10:$BR$203,D$4,FALSE))</f>
        <v/>
      </c>
      <c r="E31" s="37" t="str">
        <f>IF($C31="","",VLOOKUP($C31,CTBat!$G$10:$BR$203,E$4,FALSE))</f>
        <v/>
      </c>
      <c r="F31" s="53" t="str">
        <f>IF($C31="","",IF(J31&gt;5,1,0))</f>
        <v/>
      </c>
      <c r="G31" s="275" t="str">
        <f t="shared" si="50"/>
        <v/>
      </c>
      <c r="H31" s="275" t="str">
        <f t="shared" si="50"/>
        <v/>
      </c>
      <c r="I31" s="275" t="str">
        <f>IF($C31="","","-")</f>
        <v/>
      </c>
      <c r="J31" s="58" t="str">
        <f>IF($C31="","",VLOOKUP($C31,CTBat!$G$10:$BR$203,J$4,FALSE))</f>
        <v/>
      </c>
      <c r="K31" s="37" t="str">
        <f>IF($C31="","",VLOOKUP($C31,CTBat!$G$10:$BR$203,K$4,FALSE))</f>
        <v/>
      </c>
      <c r="L31" s="38" t="str">
        <f>IF($C31="","",VLOOKUP($C31,CTBat!$G$10:$BR$203,L$4,FALSE))</f>
        <v/>
      </c>
      <c r="M31" s="37" t="str">
        <f>IF($C31="","",VLOOKUP($C31,CTBat!$G$10:$BR$203,M$4,FALSE))</f>
        <v/>
      </c>
      <c r="N31" s="37" t="str">
        <f>IF($C31="","",VLOOKUP($C31,CTBat!$G$10:$BR$203,N$4,FALSE))</f>
        <v/>
      </c>
      <c r="O31" s="37" t="str">
        <f>IF($C31="","",VLOOKUP($C31,CTBat!$G$10:$BR$203,O$4,FALSE))</f>
        <v/>
      </c>
      <c r="P31" s="37" t="str">
        <f>IF($C31="","",VLOOKUP($C31,CTBat!$G$10:$BR$203,P$4,FALSE))</f>
        <v/>
      </c>
      <c r="Q31" s="37" t="str">
        <f>IF($C31="","",VLOOKUP($C31,CTBat!$G$10:$BR$203,Q$4,FALSE))</f>
        <v/>
      </c>
      <c r="R31" s="37" t="str">
        <f>IF($C31="","",VLOOKUP($C31,CTBat!$G$10:$BR$203,R$4,FALSE))</f>
        <v/>
      </c>
      <c r="S31" s="37" t="str">
        <f>IF($C31="","",VLOOKUP($C31,CTBat!$G$10:$BR$203,S$4,FALSE))</f>
        <v/>
      </c>
      <c r="T31" s="38" t="str">
        <f>IF($C31="","",VLOOKUP($C31,CTBat!$G$10:$BR$203,T$4,FALSE))</f>
        <v/>
      </c>
      <c r="U31" s="275" t="str">
        <f t="shared" si="51"/>
        <v/>
      </c>
      <c r="V31" s="275" t="str">
        <f t="shared" si="52"/>
        <v/>
      </c>
      <c r="W31" s="275" t="str">
        <f t="shared" si="53"/>
        <v/>
      </c>
      <c r="X31" s="275" t="str">
        <f t="shared" si="54"/>
        <v/>
      </c>
      <c r="Y31" s="275" t="str">
        <f t="shared" si="55"/>
        <v/>
      </c>
      <c r="Z31" s="275" t="str">
        <f t="shared" si="56"/>
        <v/>
      </c>
      <c r="AA31" s="275" t="str">
        <f t="shared" si="57"/>
        <v/>
      </c>
      <c r="AB31" s="275" t="str">
        <f t="shared" si="58"/>
        <v/>
      </c>
      <c r="AC31" s="276" t="str">
        <f t="shared" si="59"/>
        <v/>
      </c>
      <c r="AD31" s="37" t="str">
        <f>IF($C31="","",VLOOKUP($C31,CTBat!$G$10:$BR$203,AD$4,FALSE))</f>
        <v/>
      </c>
      <c r="AE31" s="37" t="str">
        <f>IF($C31="","",VLOOKUP($C31,CTBat!$G$10:$BR$203,AE$4,FALSE))</f>
        <v/>
      </c>
      <c r="AF31" s="37" t="str">
        <f>IF($C31="","",VLOOKUP($C31,CTBat!$G$10:$BR$203,AF$4,FALSE))</f>
        <v/>
      </c>
      <c r="AG31" s="37" t="str">
        <f>IF($C31="","",VLOOKUP($C31,CTBat!$G$10:$BR$203,AG$4,FALSE))</f>
        <v/>
      </c>
      <c r="AH31" s="37" t="str">
        <f>IF($C31="","",VLOOKUP($C31,CTBat!$G$10:$BR$203,AH$4,FALSE))</f>
        <v/>
      </c>
      <c r="AI31" s="37" t="str">
        <f>IF($C31="","",VLOOKUP($C31,CTBat!$G$10:$BR$203,AI$4,FALSE))</f>
        <v/>
      </c>
      <c r="AJ31" s="38" t="str">
        <f>IF($C31="","",VLOOKUP($C31,CTBat!$G$10:$BR$203,AJ$4,FALSE))</f>
        <v/>
      </c>
      <c r="AK31" s="67" t="str">
        <f t="shared" ref="AK31:AK33" si="70">IF($C31="","",(5*AD31+4*AF31+3*AG31+2*AE31+1*AH31+0.5*(AVERAGE(AD31:AE31))+0.5*AVERAGE(AD31,AH31)+1*(AVERAGE(AD31,AF31))+1*AVERAGE(AD31,AG31))/(5+4+3+2+1+0.5+0.5+1+1))</f>
        <v/>
      </c>
      <c r="AL31" s="275" t="str">
        <f t="shared" si="60"/>
        <v/>
      </c>
      <c r="AM31" s="275" t="str">
        <f t="shared" si="61"/>
        <v/>
      </c>
      <c r="AN31" s="275" t="str">
        <f t="shared" si="62"/>
        <v/>
      </c>
      <c r="AO31" s="275" t="str">
        <f t="shared" si="63"/>
        <v/>
      </c>
      <c r="AP31" s="275" t="str">
        <f t="shared" si="64"/>
        <v/>
      </c>
      <c r="AQ31" s="275" t="str">
        <f t="shared" si="65"/>
        <v/>
      </c>
      <c r="AR31" s="275" t="str">
        <f t="shared" si="66"/>
        <v/>
      </c>
      <c r="AS31" s="275" t="str">
        <f t="shared" si="67"/>
        <v/>
      </c>
      <c r="AT31" s="276" t="str">
        <f t="shared" si="68"/>
        <v/>
      </c>
      <c r="AU31" s="58" t="str">
        <f>IF($C31="","",VLOOKUP($C31,CTBat!$G$10:$BR$203,AU$4,FALSE))</f>
        <v/>
      </c>
      <c r="AV31" s="37" t="str">
        <f>IF($C31="","",VLOOKUP($C31,CTBat!$G$10:$BR$203,AV$4,FALSE))</f>
        <v/>
      </c>
      <c r="AW31" s="37" t="str">
        <f>IF($C31="","",VLOOKUP($C31,CTBat!$G$10:$BR$203,AW$4,FALSE))</f>
        <v/>
      </c>
      <c r="AX31" s="37" t="str">
        <f>IF($C31="","",VLOOKUP($C31,CTBat!$G$10:$BR$203,AX$4,FALSE))</f>
        <v/>
      </c>
      <c r="AY31" s="38" t="str">
        <f>IF($C31="","",VLOOKUP($C31,CTBat!$G$10:$BR$203,AY$4,FALSE))</f>
        <v/>
      </c>
      <c r="AZ31" s="67" t="str">
        <f t="shared" si="69"/>
        <v/>
      </c>
    </row>
    <row r="32" spans="1:52">
      <c r="A32">
        <v>3</v>
      </c>
      <c r="B32" s="36" t="s">
        <v>101</v>
      </c>
      <c r="C32" s="37"/>
      <c r="D32" s="37" t="str">
        <f>IF($C32="","",VLOOKUP($C32,CTBat!$G$10:$BR$203,D$4,FALSE))</f>
        <v/>
      </c>
      <c r="E32" s="37" t="str">
        <f>IF($C32="","",VLOOKUP($C32,CTBat!$G$10:$BR$203,E$4,FALSE))</f>
        <v/>
      </c>
      <c r="F32" s="53" t="str">
        <f>IF($C32="","",IF(J32&gt;5,1,0))</f>
        <v/>
      </c>
      <c r="G32" s="275" t="str">
        <f t="shared" si="50"/>
        <v/>
      </c>
      <c r="H32" s="275" t="str">
        <f t="shared" si="50"/>
        <v/>
      </c>
      <c r="I32" s="275" t="str">
        <f>IF($C32="","","-")</f>
        <v/>
      </c>
      <c r="J32" s="58" t="str">
        <f>IF($C32="","",VLOOKUP($C32,CTBat!$G$10:$BR$203,J$4,FALSE))</f>
        <v/>
      </c>
      <c r="K32" s="37" t="str">
        <f>IF($C32="","",VLOOKUP($C32,CTBat!$G$10:$BR$203,K$4,FALSE))</f>
        <v/>
      </c>
      <c r="L32" s="38" t="str">
        <f>IF($C32="","",VLOOKUP($C32,CTBat!$G$10:$BR$203,L$4,FALSE))</f>
        <v/>
      </c>
      <c r="M32" s="37" t="str">
        <f>IF($C32="","",VLOOKUP($C32,CTBat!$G$10:$BR$203,M$4,FALSE))</f>
        <v/>
      </c>
      <c r="N32" s="37" t="str">
        <f>IF($C32="","",VLOOKUP($C32,CTBat!$G$10:$BR$203,N$4,FALSE))</f>
        <v/>
      </c>
      <c r="O32" s="37" t="str">
        <f>IF($C32="","",VLOOKUP($C32,CTBat!$G$10:$BR$203,O$4,FALSE))</f>
        <v/>
      </c>
      <c r="P32" s="37" t="str">
        <f>IF($C32="","",VLOOKUP($C32,CTBat!$G$10:$BR$203,P$4,FALSE))</f>
        <v/>
      </c>
      <c r="Q32" s="37" t="str">
        <f>IF($C32="","",VLOOKUP($C32,CTBat!$G$10:$BR$203,Q$4,FALSE))</f>
        <v/>
      </c>
      <c r="R32" s="37" t="str">
        <f>IF($C32="","",VLOOKUP($C32,CTBat!$G$10:$BR$203,R$4,FALSE))</f>
        <v/>
      </c>
      <c r="S32" s="37" t="str">
        <f>IF($C32="","",VLOOKUP($C32,CTBat!$G$10:$BR$203,S$4,FALSE))</f>
        <v/>
      </c>
      <c r="T32" s="38" t="str">
        <f>IF($C32="","",VLOOKUP($C32,CTBat!$G$10:$BR$203,T$4,FALSE))</f>
        <v/>
      </c>
      <c r="U32" s="275" t="str">
        <f t="shared" si="51"/>
        <v/>
      </c>
      <c r="V32" s="275" t="str">
        <f t="shared" si="52"/>
        <v/>
      </c>
      <c r="W32" s="275" t="str">
        <f t="shared" si="53"/>
        <v/>
      </c>
      <c r="X32" s="275" t="str">
        <f t="shared" si="54"/>
        <v/>
      </c>
      <c r="Y32" s="275" t="str">
        <f t="shared" si="55"/>
        <v/>
      </c>
      <c r="Z32" s="275" t="str">
        <f t="shared" si="56"/>
        <v/>
      </c>
      <c r="AA32" s="275" t="str">
        <f t="shared" si="57"/>
        <v/>
      </c>
      <c r="AB32" s="275" t="str">
        <f t="shared" si="58"/>
        <v/>
      </c>
      <c r="AC32" s="276" t="str">
        <f t="shared" si="59"/>
        <v/>
      </c>
      <c r="AD32" s="37" t="str">
        <f>IF($C32="","",VLOOKUP($C32,CTBat!$G$10:$BR$203,AD$4,FALSE))</f>
        <v/>
      </c>
      <c r="AE32" s="37" t="str">
        <f>IF($C32="","",VLOOKUP($C32,CTBat!$G$10:$BR$203,AE$4,FALSE))</f>
        <v/>
      </c>
      <c r="AF32" s="37" t="str">
        <f>IF($C32="","",VLOOKUP($C32,CTBat!$G$10:$BR$203,AF$4,FALSE))</f>
        <v/>
      </c>
      <c r="AG32" s="37" t="str">
        <f>IF($C32="","",VLOOKUP($C32,CTBat!$G$10:$BR$203,AG$4,FALSE))</f>
        <v/>
      </c>
      <c r="AH32" s="37" t="str">
        <f>IF($C32="","",VLOOKUP($C32,CTBat!$G$10:$BR$203,AH$4,FALSE))</f>
        <v/>
      </c>
      <c r="AI32" s="37" t="str">
        <f>IF($C32="","",VLOOKUP($C32,CTBat!$G$10:$BR$203,AI$4,FALSE))</f>
        <v/>
      </c>
      <c r="AJ32" s="38" t="str">
        <f>IF($C32="","",VLOOKUP($C32,CTBat!$G$10:$BR$203,AJ$4,FALSE))</f>
        <v/>
      </c>
      <c r="AK32" s="67" t="str">
        <f t="shared" si="70"/>
        <v/>
      </c>
      <c r="AL32" s="275" t="str">
        <f t="shared" si="60"/>
        <v/>
      </c>
      <c r="AM32" s="275" t="str">
        <f t="shared" si="61"/>
        <v/>
      </c>
      <c r="AN32" s="275" t="str">
        <f t="shared" si="62"/>
        <v/>
      </c>
      <c r="AO32" s="275" t="str">
        <f t="shared" si="63"/>
        <v/>
      </c>
      <c r="AP32" s="275" t="str">
        <f t="shared" si="64"/>
        <v/>
      </c>
      <c r="AQ32" s="275" t="str">
        <f t="shared" si="65"/>
        <v/>
      </c>
      <c r="AR32" s="275" t="str">
        <f t="shared" si="66"/>
        <v/>
      </c>
      <c r="AS32" s="275" t="str">
        <f t="shared" si="67"/>
        <v/>
      </c>
      <c r="AT32" s="276" t="str">
        <f t="shared" si="68"/>
        <v/>
      </c>
      <c r="AU32" s="58" t="str">
        <f>IF($C32="","",VLOOKUP($C32,CTBat!$G$10:$BR$203,AU$4,FALSE))</f>
        <v/>
      </c>
      <c r="AV32" s="37" t="str">
        <f>IF($C32="","",VLOOKUP($C32,CTBat!$G$10:$BR$203,AV$4,FALSE))</f>
        <v/>
      </c>
      <c r="AW32" s="37" t="str">
        <f>IF($C32="","",VLOOKUP($C32,CTBat!$G$10:$BR$203,AW$4,FALSE))</f>
        <v/>
      </c>
      <c r="AX32" s="37" t="str">
        <f>IF($C32="","",VLOOKUP($C32,CTBat!$G$10:$BR$203,AX$4,FALSE))</f>
        <v/>
      </c>
      <c r="AY32" s="38" t="str">
        <f>IF($C32="","",VLOOKUP($C32,CTBat!$G$10:$BR$203,AY$4,FALSE))</f>
        <v/>
      </c>
      <c r="AZ32" s="67" t="str">
        <f t="shared" si="69"/>
        <v/>
      </c>
    </row>
    <row r="33" spans="1:52">
      <c r="A33">
        <v>4</v>
      </c>
      <c r="B33" s="39" t="s">
        <v>101</v>
      </c>
      <c r="C33" s="40"/>
      <c r="D33" s="40" t="str">
        <f>IF($C33="","",VLOOKUP($C33,CTBat!$G$10:$BR$203,D$4,FALSE))</f>
        <v/>
      </c>
      <c r="E33" s="40" t="str">
        <f>IF($C33="","",VLOOKUP($C33,CTBat!$G$10:$BR$203,E$4,FALSE))</f>
        <v/>
      </c>
      <c r="F33" s="54" t="str">
        <f>IF($C33="","",IF(J33&gt;5,1,0))</f>
        <v/>
      </c>
      <c r="G33" s="273" t="str">
        <f t="shared" si="50"/>
        <v/>
      </c>
      <c r="H33" s="273" t="str">
        <f t="shared" si="50"/>
        <v/>
      </c>
      <c r="I33" s="273" t="str">
        <f>IF($C33="","","-")</f>
        <v/>
      </c>
      <c r="J33" s="59" t="str">
        <f>IF($C33="","",VLOOKUP($C33,CTBat!$G$10:$BR$203,J$4,FALSE))</f>
        <v/>
      </c>
      <c r="K33" s="40" t="str">
        <f>IF($C33="","",VLOOKUP($C33,CTBat!$G$10:$BR$203,K$4,FALSE))</f>
        <v/>
      </c>
      <c r="L33" s="42" t="str">
        <f>IF($C33="","",VLOOKUP($C33,CTBat!$G$10:$BR$203,L$4,FALSE))</f>
        <v/>
      </c>
      <c r="M33" s="40" t="str">
        <f>IF($C33="","",VLOOKUP($C33,CTBat!$G$10:$BR$203,M$4,FALSE))</f>
        <v/>
      </c>
      <c r="N33" s="40" t="str">
        <f>IF($C33="","",VLOOKUP($C33,CTBat!$G$10:$BR$203,N$4,FALSE))</f>
        <v/>
      </c>
      <c r="O33" s="40" t="str">
        <f>IF($C33="","",VLOOKUP($C33,CTBat!$G$10:$BR$203,O$4,FALSE))</f>
        <v/>
      </c>
      <c r="P33" s="40" t="str">
        <f>IF($C33="","",VLOOKUP($C33,CTBat!$G$10:$BR$203,P$4,FALSE))</f>
        <v/>
      </c>
      <c r="Q33" s="40" t="str">
        <f>IF($C33="","",VLOOKUP($C33,CTBat!$G$10:$BR$203,Q$4,FALSE))</f>
        <v/>
      </c>
      <c r="R33" s="40" t="str">
        <f>IF($C33="","",VLOOKUP($C33,CTBat!$G$10:$BR$203,R$4,FALSE))</f>
        <v/>
      </c>
      <c r="S33" s="40" t="str">
        <f>IF($C33="","",VLOOKUP($C33,CTBat!$G$10:$BR$203,S$4,FALSE))</f>
        <v/>
      </c>
      <c r="T33" s="42" t="str">
        <f>IF($C33="","",VLOOKUP($C33,CTBat!$G$10:$BR$203,T$4,FALSE))</f>
        <v/>
      </c>
      <c r="U33" s="273" t="str">
        <f t="shared" si="51"/>
        <v/>
      </c>
      <c r="V33" s="273" t="str">
        <f t="shared" si="52"/>
        <v/>
      </c>
      <c r="W33" s="273" t="str">
        <f t="shared" si="53"/>
        <v/>
      </c>
      <c r="X33" s="273" t="str">
        <f t="shared" si="54"/>
        <v/>
      </c>
      <c r="Y33" s="273" t="str">
        <f t="shared" si="55"/>
        <v/>
      </c>
      <c r="Z33" s="273" t="str">
        <f t="shared" si="56"/>
        <v/>
      </c>
      <c r="AA33" s="273" t="str">
        <f t="shared" si="57"/>
        <v/>
      </c>
      <c r="AB33" s="273" t="str">
        <f t="shared" si="58"/>
        <v/>
      </c>
      <c r="AC33" s="274" t="str">
        <f t="shared" si="59"/>
        <v/>
      </c>
      <c r="AD33" s="40" t="str">
        <f>IF($C33="","",VLOOKUP($C33,CTBat!$G$10:$BR$203,AD$4,FALSE))</f>
        <v/>
      </c>
      <c r="AE33" s="40" t="str">
        <f>IF($C33="","",VLOOKUP($C33,CTBat!$G$10:$BR$203,AE$4,FALSE))</f>
        <v/>
      </c>
      <c r="AF33" s="40" t="str">
        <f>IF($C33="","",VLOOKUP($C33,CTBat!$G$10:$BR$203,AF$4,FALSE))</f>
        <v/>
      </c>
      <c r="AG33" s="40" t="str">
        <f>IF($C33="","",VLOOKUP($C33,CTBat!$G$10:$BR$203,AG$4,FALSE))</f>
        <v/>
      </c>
      <c r="AH33" s="40" t="str">
        <f>IF($C33="","",VLOOKUP($C33,CTBat!$G$10:$BR$203,AH$4,FALSE))</f>
        <v/>
      </c>
      <c r="AI33" s="40" t="str">
        <f>IF($C33="","",VLOOKUP($C33,CTBat!$G$10:$BR$203,AI$4,FALSE))</f>
        <v/>
      </c>
      <c r="AJ33" s="42" t="str">
        <f>IF($C33="","",VLOOKUP($C33,CTBat!$G$10:$BR$203,AJ$4,FALSE))</f>
        <v/>
      </c>
      <c r="AK33" s="68" t="str">
        <f t="shared" si="70"/>
        <v/>
      </c>
      <c r="AL33" s="273" t="str">
        <f t="shared" si="60"/>
        <v/>
      </c>
      <c r="AM33" s="273" t="str">
        <f t="shared" si="61"/>
        <v/>
      </c>
      <c r="AN33" s="273" t="str">
        <f t="shared" si="62"/>
        <v/>
      </c>
      <c r="AO33" s="273" t="str">
        <f t="shared" si="63"/>
        <v/>
      </c>
      <c r="AP33" s="273" t="str">
        <f t="shared" si="64"/>
        <v/>
      </c>
      <c r="AQ33" s="273" t="str">
        <f t="shared" si="65"/>
        <v/>
      </c>
      <c r="AR33" s="273" t="str">
        <f t="shared" si="66"/>
        <v/>
      </c>
      <c r="AS33" s="273" t="str">
        <f t="shared" si="67"/>
        <v/>
      </c>
      <c r="AT33" s="274" t="str">
        <f t="shared" si="68"/>
        <v/>
      </c>
      <c r="AU33" s="59" t="str">
        <f>IF($C33="","",VLOOKUP($C33,CTBat!$G$10:$BR$203,AU$4,FALSE))</f>
        <v/>
      </c>
      <c r="AV33" s="40" t="str">
        <f>IF($C33="","",VLOOKUP($C33,CTBat!$G$10:$BR$203,AV$4,FALSE))</f>
        <v/>
      </c>
      <c r="AW33" s="40" t="str">
        <f>IF($C33="","",VLOOKUP($C33,CTBat!$G$10:$BR$203,AW$4,FALSE))</f>
        <v/>
      </c>
      <c r="AX33" s="40" t="str">
        <f>IF($C33="","",VLOOKUP($C33,CTBat!$G$10:$BR$203,AX$4,FALSE))</f>
        <v/>
      </c>
      <c r="AY33" s="42" t="str">
        <f>IF($C33="","",VLOOKUP($C33,CTBat!$G$10:$BR$203,AY$4,FALSE))</f>
        <v/>
      </c>
      <c r="AZ33" s="68" t="str">
        <f t="shared" si="69"/>
        <v/>
      </c>
    </row>
    <row r="35" spans="1:52" s="1" customFormat="1">
      <c r="B35" s="270" t="s">
        <v>155</v>
      </c>
      <c r="C35" s="44" t="s">
        <v>118</v>
      </c>
      <c r="D35" s="44" t="s">
        <v>119</v>
      </c>
      <c r="E35" s="50" t="s">
        <v>101</v>
      </c>
      <c r="F35" s="271" t="s">
        <v>156</v>
      </c>
      <c r="G35" s="271" t="s">
        <v>160</v>
      </c>
      <c r="H35" s="272" t="s">
        <v>158</v>
      </c>
      <c r="I35" s="88" t="s">
        <v>182</v>
      </c>
      <c r="J35" s="270" t="s">
        <v>92</v>
      </c>
      <c r="K35" s="271" t="s">
        <v>145</v>
      </c>
      <c r="L35" s="271" t="s">
        <v>146</v>
      </c>
      <c r="M35" s="271" t="s">
        <v>203</v>
      </c>
      <c r="N35" s="271" t="s">
        <v>93</v>
      </c>
      <c r="O35" s="270" t="s">
        <v>204</v>
      </c>
      <c r="P35" s="272" t="s">
        <v>205</v>
      </c>
      <c r="Q35" s="270" t="s">
        <v>213</v>
      </c>
      <c r="R35" s="87" t="s">
        <v>231</v>
      </c>
      <c r="T35" s="270" t="s">
        <v>119</v>
      </c>
      <c r="U35" s="270" t="s">
        <v>214</v>
      </c>
      <c r="V35" s="272" t="s">
        <v>235</v>
      </c>
      <c r="W35" s="271" t="s">
        <v>213</v>
      </c>
      <c r="X35" s="272" t="s">
        <v>231</v>
      </c>
      <c r="AG35" s="336" t="s">
        <v>348</v>
      </c>
      <c r="AH35" s="337"/>
      <c r="AI35" s="337"/>
      <c r="AJ35" s="337"/>
      <c r="AK35" s="337"/>
      <c r="AL35" s="337"/>
      <c r="AM35" s="337"/>
      <c r="AN35" s="337"/>
      <c r="AO35" s="337"/>
      <c r="AP35" s="337"/>
      <c r="AQ35" s="337"/>
      <c r="AR35" s="337"/>
      <c r="AS35" s="337"/>
      <c r="AT35" s="338"/>
    </row>
    <row r="36" spans="1:52">
      <c r="B36" s="36">
        <v>1</v>
      </c>
      <c r="C36" s="57"/>
      <c r="D36" s="33" t="s">
        <v>99</v>
      </c>
      <c r="E36" s="38" t="str">
        <f t="shared" ref="E36:E44" si="71">IF($C36="","",VLOOKUP($C36,$C$6:$AK$33,$E$4-2,FALSE))</f>
        <v/>
      </c>
      <c r="F36" s="275" t="str">
        <f t="shared" ref="F36:F44" si="72">IF($C36="","",VLOOKUP($C36,$C$6:$AK$33,18+$B36,FALSE))</f>
        <v/>
      </c>
      <c r="G36" s="275" t="str">
        <f t="shared" ref="G36:G44" si="73">IF($C36="","",IF(VLOOKUP($C36,$C$6:$AK$33,18+3,FALSE)=1,3,IF(VLOOKUP($C36,$C$6:$AK$33,18+4,FALSE)=1,4,IF(VLOOKUP($C36,$C$6:$AK$33,18+1,FALSE)=1,1,IF(VLOOKUP($C36,$C$6:$AK$33,18+5,FALSE)=1,5,IF(VLOOKUP($C36,$C$6:$AK$33,18+2,FALSE)=1,2,IF(VLOOKUP($C36,$C$6:$AK$33,18+6,FALSE)=1,6,IF(VLOOKUP($C36,$C$6:$AK$33,18+7,FALSE)=1,7,IF(VLOOKUP($C36,$C$6:$AK$33,18+8,FALSE)=1,8,9)))))))))</f>
        <v/>
      </c>
      <c r="H36" s="8" t="str">
        <f t="shared" ref="H36:H44" si="74">IF($C36="","",VLOOKUP($C36,$C$6:$AK$33,35,FALSE))</f>
        <v/>
      </c>
      <c r="I36" s="89">
        <v>3</v>
      </c>
      <c r="J36" s="53" t="str">
        <f t="shared" ref="J36:J44" si="75">IF($C36="","",VLOOKUP($C36,$C$6:$AZ$33,17+AD$4,FALSE))</f>
        <v/>
      </c>
      <c r="K36" s="275" t="str">
        <f t="shared" ref="K36:K44" si="76">IF($C36="","",VLOOKUP($C36,$C$6:$AZ$33,17+AE$4,FALSE))</f>
        <v/>
      </c>
      <c r="L36" s="275" t="str">
        <f t="shared" ref="L36:L44" si="77">IF($C36="","",VLOOKUP($C36,$C$6:$AZ$33,17+AF$4,FALSE))</f>
        <v/>
      </c>
      <c r="M36" s="275" t="str">
        <f t="shared" ref="M36:M44" si="78">IF($C36="","",VLOOKUP($C36,$C$6:$AZ$33,17+AG$4,FALSE))</f>
        <v/>
      </c>
      <c r="N36" s="275" t="str">
        <f t="shared" ref="N36:N44" si="79">IF($C36="","",VLOOKUP($C36,$C$6:$AZ$33,17+AH$4,FALSE))</f>
        <v/>
      </c>
      <c r="O36" s="53" t="str">
        <f t="shared" ref="O36:O44" si="80">IF($C36="","",VLOOKUP($C36,$C$6:$AZ$33,1+AI$4,FALSE))</f>
        <v/>
      </c>
      <c r="P36" s="276" t="str">
        <f t="shared" ref="P36:P44" si="81">IF($C36="","",VLOOKUP($C36,$C$6:$AZ$33,1+AJ$4,FALSE))</f>
        <v/>
      </c>
      <c r="Q36" s="116" t="str">
        <f t="shared" ref="Q36:Q44" si="82">IF($C36="","",IF($D36="DH","-",VLOOKUP($C36,$C$5:$AZ$33,9+VLOOKUP($D36,$T$35:$U$43,2,FALSE),FALSE)))</f>
        <v/>
      </c>
      <c r="R36" s="101" t="str">
        <f t="shared" ref="R36:R44" si="83">IF($C36="","",IF($D36="DH","-",VLOOKUP($C36,$C$5:$AZ$33,VLOOKUP($D36,$T$35:$V$43,3,FALSE),FALSE)))</f>
        <v/>
      </c>
      <c r="T36" s="53" t="s">
        <v>92</v>
      </c>
      <c r="U36" s="53">
        <v>2</v>
      </c>
      <c r="V36" s="276">
        <v>8</v>
      </c>
      <c r="W36" s="275" t="str">
        <f>VLOOKUP($T36,$D$35:$R$44,14,FALSE)</f>
        <v/>
      </c>
      <c r="X36" s="276" t="str">
        <f>VLOOKUP($T36,$D$35:$R$44,15,FALSE)</f>
        <v/>
      </c>
      <c r="AG36" s="201">
        <v>1</v>
      </c>
      <c r="AH36" s="331" t="s">
        <v>343</v>
      </c>
      <c r="AI36" s="331"/>
      <c r="AJ36" s="331"/>
      <c r="AK36" s="331"/>
      <c r="AL36" s="331"/>
      <c r="AM36" s="331"/>
      <c r="AN36" s="331"/>
      <c r="AO36" s="331"/>
      <c r="AP36" s="331"/>
      <c r="AQ36" s="331"/>
      <c r="AR36" s="331"/>
      <c r="AS36" s="331"/>
      <c r="AT36" s="332"/>
    </row>
    <row r="37" spans="1:52">
      <c r="B37" s="36">
        <v>2</v>
      </c>
      <c r="C37" s="58"/>
      <c r="D37" s="37" t="s">
        <v>18</v>
      </c>
      <c r="E37" s="38" t="str">
        <f t="shared" si="71"/>
        <v/>
      </c>
      <c r="F37" s="275" t="str">
        <f t="shared" si="72"/>
        <v/>
      </c>
      <c r="G37" s="275" t="str">
        <f t="shared" si="73"/>
        <v/>
      </c>
      <c r="H37" s="8" t="str">
        <f t="shared" si="74"/>
        <v/>
      </c>
      <c r="I37" s="89">
        <v>5</v>
      </c>
      <c r="J37" s="53" t="str">
        <f t="shared" si="75"/>
        <v/>
      </c>
      <c r="K37" s="275" t="str">
        <f t="shared" si="76"/>
        <v/>
      </c>
      <c r="L37" s="275" t="str">
        <f t="shared" si="77"/>
        <v/>
      </c>
      <c r="M37" s="275" t="str">
        <f t="shared" si="78"/>
        <v/>
      </c>
      <c r="N37" s="275" t="str">
        <f t="shared" si="79"/>
        <v/>
      </c>
      <c r="O37" s="53" t="str">
        <f t="shared" si="80"/>
        <v/>
      </c>
      <c r="P37" s="276" t="str">
        <f t="shared" si="81"/>
        <v/>
      </c>
      <c r="Q37" s="117" t="str">
        <f t="shared" si="82"/>
        <v/>
      </c>
      <c r="R37" s="101" t="str">
        <f t="shared" si="83"/>
        <v/>
      </c>
      <c r="T37" s="53" t="s">
        <v>94</v>
      </c>
      <c r="U37" s="53">
        <v>3</v>
      </c>
      <c r="V37" s="276">
        <v>9</v>
      </c>
      <c r="W37" s="275" t="str">
        <f t="shared" ref="W37:W43" si="84">VLOOKUP($T37,$D$35:$R$44,14,FALSE)</f>
        <v/>
      </c>
      <c r="X37" s="276" t="str">
        <f t="shared" ref="X37:X43" si="85">VLOOKUP($T37,$D$35:$R$44,15,FALSE)</f>
        <v/>
      </c>
      <c r="AG37" s="77">
        <v>2</v>
      </c>
      <c r="AH37" s="331" t="s">
        <v>344</v>
      </c>
      <c r="AI37" s="331"/>
      <c r="AJ37" s="331"/>
      <c r="AK37" s="331"/>
      <c r="AL37" s="331"/>
      <c r="AM37" s="331"/>
      <c r="AN37" s="331"/>
      <c r="AO37" s="331"/>
      <c r="AP37" s="331"/>
      <c r="AQ37" s="331"/>
      <c r="AR37" s="331"/>
      <c r="AS37" s="331"/>
      <c r="AT37" s="332"/>
    </row>
    <row r="38" spans="1:52">
      <c r="B38" s="36">
        <v>3</v>
      </c>
      <c r="C38" s="58"/>
      <c r="D38" s="37" t="s">
        <v>97</v>
      </c>
      <c r="E38" s="38" t="str">
        <f t="shared" si="71"/>
        <v/>
      </c>
      <c r="F38" s="275" t="str">
        <f t="shared" si="72"/>
        <v/>
      </c>
      <c r="G38" s="275" t="str">
        <f t="shared" si="73"/>
        <v/>
      </c>
      <c r="H38" s="8" t="str">
        <f t="shared" si="74"/>
        <v/>
      </c>
      <c r="I38" s="89">
        <v>1</v>
      </c>
      <c r="J38" s="53" t="str">
        <f t="shared" si="75"/>
        <v/>
      </c>
      <c r="K38" s="275" t="str">
        <f t="shared" si="76"/>
        <v/>
      </c>
      <c r="L38" s="275" t="str">
        <f t="shared" si="77"/>
        <v/>
      </c>
      <c r="M38" s="275" t="str">
        <f t="shared" si="78"/>
        <v/>
      </c>
      <c r="N38" s="275" t="str">
        <f t="shared" si="79"/>
        <v/>
      </c>
      <c r="O38" s="53" t="str">
        <f t="shared" si="80"/>
        <v/>
      </c>
      <c r="P38" s="276" t="str">
        <f t="shared" si="81"/>
        <v/>
      </c>
      <c r="Q38" s="117" t="str">
        <f t="shared" si="82"/>
        <v/>
      </c>
      <c r="R38" s="101" t="str">
        <f t="shared" si="83"/>
        <v/>
      </c>
      <c r="T38" s="53" t="s">
        <v>95</v>
      </c>
      <c r="U38" s="53">
        <v>4</v>
      </c>
      <c r="V38" s="276">
        <v>9</v>
      </c>
      <c r="W38" s="275" t="str">
        <f t="shared" si="84"/>
        <v/>
      </c>
      <c r="X38" s="276" t="str">
        <f t="shared" si="85"/>
        <v/>
      </c>
      <c r="AG38" s="77">
        <v>3</v>
      </c>
      <c r="AH38" s="331" t="s">
        <v>346</v>
      </c>
      <c r="AI38" s="331"/>
      <c r="AJ38" s="331"/>
      <c r="AK38" s="331"/>
      <c r="AL38" s="331"/>
      <c r="AM38" s="331"/>
      <c r="AN38" s="331"/>
      <c r="AO38" s="331"/>
      <c r="AP38" s="331"/>
      <c r="AQ38" s="331"/>
      <c r="AR38" s="331"/>
      <c r="AS38" s="331"/>
      <c r="AT38" s="332"/>
    </row>
    <row r="39" spans="1:52">
      <c r="B39" s="36">
        <v>4</v>
      </c>
      <c r="C39" s="58"/>
      <c r="D39" s="65" t="s">
        <v>94</v>
      </c>
      <c r="E39" s="38" t="str">
        <f t="shared" si="71"/>
        <v/>
      </c>
      <c r="F39" s="275" t="str">
        <f t="shared" si="72"/>
        <v/>
      </c>
      <c r="G39" s="275" t="str">
        <f t="shared" si="73"/>
        <v/>
      </c>
      <c r="H39" s="8" t="str">
        <f t="shared" si="74"/>
        <v/>
      </c>
      <c r="I39" s="89">
        <v>2</v>
      </c>
      <c r="J39" s="53" t="str">
        <f t="shared" si="75"/>
        <v/>
      </c>
      <c r="K39" s="275" t="str">
        <f t="shared" si="76"/>
        <v/>
      </c>
      <c r="L39" s="275" t="str">
        <f t="shared" si="77"/>
        <v/>
      </c>
      <c r="M39" s="275" t="str">
        <f t="shared" si="78"/>
        <v/>
      </c>
      <c r="N39" s="275" t="str">
        <f t="shared" si="79"/>
        <v/>
      </c>
      <c r="O39" s="53" t="str">
        <f t="shared" si="80"/>
        <v/>
      </c>
      <c r="P39" s="276" t="str">
        <f t="shared" si="81"/>
        <v/>
      </c>
      <c r="Q39" s="117" t="str">
        <f t="shared" si="82"/>
        <v/>
      </c>
      <c r="R39" s="101" t="str">
        <f t="shared" si="83"/>
        <v/>
      </c>
      <c r="T39" s="53" t="s">
        <v>96</v>
      </c>
      <c r="U39" s="53">
        <v>5</v>
      </c>
      <c r="V39" s="276">
        <v>9</v>
      </c>
      <c r="W39" s="275" t="str">
        <f t="shared" si="84"/>
        <v/>
      </c>
      <c r="X39" s="276" t="str">
        <f t="shared" si="85"/>
        <v/>
      </c>
      <c r="AG39" s="77">
        <v>4</v>
      </c>
      <c r="AH39" s="341" t="s">
        <v>345</v>
      </c>
      <c r="AI39" s="341"/>
      <c r="AJ39" s="341"/>
      <c r="AK39" s="341"/>
      <c r="AL39" s="341"/>
      <c r="AM39" s="341"/>
      <c r="AN39" s="341"/>
      <c r="AO39" s="341"/>
      <c r="AP39" s="341"/>
      <c r="AQ39" s="341"/>
      <c r="AR39" s="341"/>
      <c r="AS39" s="341"/>
      <c r="AT39" s="341"/>
    </row>
    <row r="40" spans="1:52">
      <c r="B40" s="36">
        <v>5</v>
      </c>
      <c r="C40" s="58"/>
      <c r="D40" s="65" t="s">
        <v>92</v>
      </c>
      <c r="E40" s="38" t="str">
        <f t="shared" si="71"/>
        <v/>
      </c>
      <c r="F40" s="275" t="str">
        <f t="shared" si="72"/>
        <v/>
      </c>
      <c r="G40" s="275" t="str">
        <f t="shared" si="73"/>
        <v/>
      </c>
      <c r="H40" s="8" t="str">
        <f t="shared" si="74"/>
        <v/>
      </c>
      <c r="I40" s="89">
        <v>4</v>
      </c>
      <c r="J40" s="53" t="str">
        <f t="shared" si="75"/>
        <v/>
      </c>
      <c r="K40" s="275" t="str">
        <f t="shared" si="76"/>
        <v/>
      </c>
      <c r="L40" s="275" t="str">
        <f t="shared" si="77"/>
        <v/>
      </c>
      <c r="M40" s="275" t="str">
        <f t="shared" si="78"/>
        <v/>
      </c>
      <c r="N40" s="275" t="str">
        <f t="shared" si="79"/>
        <v/>
      </c>
      <c r="O40" s="53" t="str">
        <f t="shared" si="80"/>
        <v/>
      </c>
      <c r="P40" s="276" t="str">
        <f t="shared" si="81"/>
        <v/>
      </c>
      <c r="Q40" s="117" t="str">
        <f t="shared" si="82"/>
        <v/>
      </c>
      <c r="R40" s="101" t="str">
        <f t="shared" si="83"/>
        <v/>
      </c>
      <c r="T40" s="53" t="s">
        <v>97</v>
      </c>
      <c r="U40" s="53">
        <v>6</v>
      </c>
      <c r="V40" s="276">
        <v>9</v>
      </c>
      <c r="W40" s="275" t="str">
        <f t="shared" si="84"/>
        <v/>
      </c>
      <c r="X40" s="276" t="str">
        <f t="shared" si="85"/>
        <v/>
      </c>
      <c r="AG40" s="78">
        <v>5</v>
      </c>
      <c r="AH40" s="334" t="s">
        <v>347</v>
      </c>
      <c r="AI40" s="334"/>
      <c r="AJ40" s="334"/>
      <c r="AK40" s="334"/>
      <c r="AL40" s="334"/>
      <c r="AM40" s="334"/>
      <c r="AN40" s="334"/>
      <c r="AO40" s="334"/>
      <c r="AP40" s="334"/>
      <c r="AQ40" s="334"/>
      <c r="AR40" s="334"/>
      <c r="AS40" s="334"/>
      <c r="AT40" s="335"/>
    </row>
    <row r="41" spans="1:52">
      <c r="B41" s="36">
        <v>6</v>
      </c>
      <c r="C41" s="58"/>
      <c r="D41" s="65" t="s">
        <v>100</v>
      </c>
      <c r="E41" s="38" t="str">
        <f t="shared" si="71"/>
        <v/>
      </c>
      <c r="F41" s="275" t="str">
        <f t="shared" si="72"/>
        <v/>
      </c>
      <c r="G41" s="275" t="str">
        <f t="shared" si="73"/>
        <v/>
      </c>
      <c r="H41" s="8" t="str">
        <f t="shared" si="74"/>
        <v/>
      </c>
      <c r="I41" s="89">
        <v>6</v>
      </c>
      <c r="J41" s="53" t="str">
        <f t="shared" si="75"/>
        <v/>
      </c>
      <c r="K41" s="275" t="str">
        <f t="shared" si="76"/>
        <v/>
      </c>
      <c r="L41" s="275" t="str">
        <f t="shared" si="77"/>
        <v/>
      </c>
      <c r="M41" s="275" t="str">
        <f t="shared" si="78"/>
        <v/>
      </c>
      <c r="N41" s="275" t="str">
        <f t="shared" si="79"/>
        <v/>
      </c>
      <c r="O41" s="53" t="str">
        <f t="shared" si="80"/>
        <v/>
      </c>
      <c r="P41" s="276" t="str">
        <f t="shared" si="81"/>
        <v/>
      </c>
      <c r="Q41" s="117" t="str">
        <f t="shared" si="82"/>
        <v/>
      </c>
      <c r="R41" s="101" t="str">
        <f t="shared" si="83"/>
        <v/>
      </c>
      <c r="T41" s="53" t="s">
        <v>98</v>
      </c>
      <c r="U41" s="53">
        <v>7</v>
      </c>
      <c r="V41" s="276">
        <v>10</v>
      </c>
      <c r="W41" s="275" t="str">
        <f t="shared" si="84"/>
        <v/>
      </c>
      <c r="X41" s="276" t="str">
        <f t="shared" si="85"/>
        <v/>
      </c>
    </row>
    <row r="42" spans="1:52">
      <c r="B42" s="36">
        <v>7</v>
      </c>
      <c r="C42" s="58"/>
      <c r="D42" s="65" t="s">
        <v>98</v>
      </c>
      <c r="E42" s="38" t="str">
        <f t="shared" si="71"/>
        <v/>
      </c>
      <c r="F42" s="275" t="str">
        <f t="shared" si="72"/>
        <v/>
      </c>
      <c r="G42" s="275" t="str">
        <f t="shared" si="73"/>
        <v/>
      </c>
      <c r="H42" s="8" t="str">
        <f t="shared" si="74"/>
        <v/>
      </c>
      <c r="I42" s="89">
        <v>7</v>
      </c>
      <c r="J42" s="53" t="str">
        <f t="shared" si="75"/>
        <v/>
      </c>
      <c r="K42" s="275" t="str">
        <f t="shared" si="76"/>
        <v/>
      </c>
      <c r="L42" s="275" t="str">
        <f t="shared" si="77"/>
        <v/>
      </c>
      <c r="M42" s="275" t="str">
        <f t="shared" si="78"/>
        <v/>
      </c>
      <c r="N42" s="275" t="str">
        <f t="shared" si="79"/>
        <v/>
      </c>
      <c r="O42" s="53" t="str">
        <f t="shared" si="80"/>
        <v/>
      </c>
      <c r="P42" s="276" t="str">
        <f t="shared" si="81"/>
        <v/>
      </c>
      <c r="Q42" s="117" t="str">
        <f t="shared" si="82"/>
        <v/>
      </c>
      <c r="R42" s="101" t="str">
        <f t="shared" si="83"/>
        <v/>
      </c>
      <c r="T42" s="53" t="s">
        <v>99</v>
      </c>
      <c r="U42" s="53">
        <v>8</v>
      </c>
      <c r="V42" s="276">
        <v>10</v>
      </c>
      <c r="W42" s="275" t="str">
        <f t="shared" si="84"/>
        <v/>
      </c>
      <c r="X42" s="276" t="str">
        <f t="shared" si="85"/>
        <v/>
      </c>
    </row>
    <row r="43" spans="1:52">
      <c r="B43" s="36">
        <v>8</v>
      </c>
      <c r="C43" s="58"/>
      <c r="D43" s="65" t="s">
        <v>96</v>
      </c>
      <c r="E43" s="38" t="str">
        <f t="shared" si="71"/>
        <v/>
      </c>
      <c r="F43" s="275" t="str">
        <f t="shared" si="72"/>
        <v/>
      </c>
      <c r="G43" s="275" t="str">
        <f t="shared" si="73"/>
        <v/>
      </c>
      <c r="H43" s="8" t="str">
        <f t="shared" si="74"/>
        <v/>
      </c>
      <c r="I43" s="89">
        <v>8</v>
      </c>
      <c r="J43" s="53" t="str">
        <f t="shared" si="75"/>
        <v/>
      </c>
      <c r="K43" s="275" t="str">
        <f t="shared" si="76"/>
        <v/>
      </c>
      <c r="L43" s="275" t="str">
        <f t="shared" si="77"/>
        <v/>
      </c>
      <c r="M43" s="275" t="str">
        <f t="shared" si="78"/>
        <v/>
      </c>
      <c r="N43" s="275" t="str">
        <f t="shared" si="79"/>
        <v/>
      </c>
      <c r="O43" s="53" t="str">
        <f t="shared" si="80"/>
        <v/>
      </c>
      <c r="P43" s="276" t="str">
        <f t="shared" si="81"/>
        <v/>
      </c>
      <c r="Q43" s="117" t="str">
        <f t="shared" si="82"/>
        <v/>
      </c>
      <c r="R43" s="101" t="str">
        <f t="shared" si="83"/>
        <v/>
      </c>
      <c r="T43" s="54" t="s">
        <v>100</v>
      </c>
      <c r="U43" s="54">
        <v>9</v>
      </c>
      <c r="V43" s="274">
        <v>10</v>
      </c>
      <c r="W43" s="273" t="str">
        <f t="shared" si="84"/>
        <v/>
      </c>
      <c r="X43" s="274" t="str">
        <f t="shared" si="85"/>
        <v/>
      </c>
    </row>
    <row r="44" spans="1:52">
      <c r="B44" s="39">
        <v>9</v>
      </c>
      <c r="C44" s="59"/>
      <c r="D44" s="40" t="s">
        <v>95</v>
      </c>
      <c r="E44" s="42" t="str">
        <f t="shared" si="71"/>
        <v/>
      </c>
      <c r="F44" s="273" t="str">
        <f t="shared" si="72"/>
        <v/>
      </c>
      <c r="G44" s="273" t="str">
        <f t="shared" si="73"/>
        <v/>
      </c>
      <c r="H44" s="69" t="str">
        <f t="shared" si="74"/>
        <v/>
      </c>
      <c r="I44" s="90">
        <v>9</v>
      </c>
      <c r="J44" s="54" t="str">
        <f t="shared" si="75"/>
        <v/>
      </c>
      <c r="K44" s="273" t="str">
        <f t="shared" si="76"/>
        <v/>
      </c>
      <c r="L44" s="273" t="str">
        <f t="shared" si="77"/>
        <v/>
      </c>
      <c r="M44" s="273" t="str">
        <f t="shared" si="78"/>
        <v/>
      </c>
      <c r="N44" s="273" t="str">
        <f t="shared" si="79"/>
        <v/>
      </c>
      <c r="O44" s="54" t="str">
        <f t="shared" si="80"/>
        <v/>
      </c>
      <c r="P44" s="274" t="str">
        <f t="shared" si="81"/>
        <v/>
      </c>
      <c r="Q44" s="118" t="str">
        <f t="shared" si="82"/>
        <v/>
      </c>
      <c r="R44" s="102" t="str">
        <f t="shared" si="83"/>
        <v/>
      </c>
    </row>
    <row r="45" spans="1:52">
      <c r="B45" s="4"/>
      <c r="C45" s="37"/>
      <c r="D45" s="37"/>
      <c r="E45" s="37"/>
      <c r="F45" s="275"/>
      <c r="G45" s="275"/>
      <c r="H45" s="9"/>
    </row>
    <row r="46" spans="1:52">
      <c r="B46" s="32" t="s">
        <v>194</v>
      </c>
      <c r="C46" s="35">
        <f>COUNTA(C6:C17,C20:C27,C30:C33)</f>
        <v>5</v>
      </c>
      <c r="D46" s="287">
        <f>C46/$C$48</f>
        <v>0.5</v>
      </c>
      <c r="E46" s="37"/>
      <c r="F46" s="275"/>
      <c r="G46" s="275"/>
      <c r="H46" s="9"/>
    </row>
    <row r="47" spans="1:52">
      <c r="B47" s="36" t="s">
        <v>195</v>
      </c>
      <c r="C47" s="38">
        <f>COUNTA(C51:C56,C59:C60,C63:C72)</f>
        <v>5</v>
      </c>
      <c r="D47" s="287">
        <f>C47/$C$48</f>
        <v>0.5</v>
      </c>
      <c r="E47" s="37"/>
      <c r="F47" s="275"/>
      <c r="G47" s="275"/>
      <c r="H47" s="9"/>
    </row>
    <row r="48" spans="1:52">
      <c r="B48" s="39" t="s">
        <v>196</v>
      </c>
      <c r="C48" s="42">
        <f>C46+C47</f>
        <v>10</v>
      </c>
      <c r="D48" s="37"/>
      <c r="E48" s="37"/>
      <c r="F48" s="275"/>
      <c r="G48" s="275"/>
      <c r="H48" s="9"/>
    </row>
    <row r="49" spans="1:33">
      <c r="I49">
        <v>6</v>
      </c>
      <c r="K49">
        <v>11</v>
      </c>
      <c r="L49">
        <v>12</v>
      </c>
      <c r="M49">
        <v>13</v>
      </c>
      <c r="N49">
        <v>17</v>
      </c>
      <c r="O49">
        <f>N49+2</f>
        <v>19</v>
      </c>
      <c r="P49">
        <f t="shared" ref="P49:Y49" si="86">O49+2</f>
        <v>21</v>
      </c>
      <c r="Q49">
        <f t="shared" si="86"/>
        <v>23</v>
      </c>
      <c r="R49">
        <f t="shared" si="86"/>
        <v>25</v>
      </c>
      <c r="S49">
        <f t="shared" si="86"/>
        <v>27</v>
      </c>
      <c r="T49">
        <f t="shared" si="86"/>
        <v>29</v>
      </c>
      <c r="U49">
        <f t="shared" si="86"/>
        <v>31</v>
      </c>
      <c r="V49">
        <f t="shared" si="86"/>
        <v>33</v>
      </c>
      <c r="W49">
        <f t="shared" si="86"/>
        <v>35</v>
      </c>
      <c r="X49">
        <f t="shared" si="86"/>
        <v>37</v>
      </c>
      <c r="Y49">
        <f t="shared" si="86"/>
        <v>39</v>
      </c>
      <c r="Z49">
        <v>41</v>
      </c>
      <c r="AA49">
        <v>42</v>
      </c>
      <c r="AB49">
        <v>43</v>
      </c>
      <c r="AC49">
        <v>46</v>
      </c>
      <c r="AD49">
        <v>14</v>
      </c>
      <c r="AE49">
        <v>15</v>
      </c>
      <c r="AF49">
        <v>16</v>
      </c>
      <c r="AG49">
        <v>48</v>
      </c>
    </row>
    <row r="50" spans="1:33" s="275" customFormat="1" ht="74.25">
      <c r="A50" s="73" t="s">
        <v>193</v>
      </c>
      <c r="B50" s="270" t="s">
        <v>126</v>
      </c>
      <c r="C50" s="44" t="s">
        <v>118</v>
      </c>
      <c r="D50" s="44" t="s">
        <v>91</v>
      </c>
      <c r="E50" s="50" t="s">
        <v>102</v>
      </c>
      <c r="F50" s="46" t="s">
        <v>183</v>
      </c>
      <c r="G50" s="46" t="s">
        <v>184</v>
      </c>
      <c r="H50" s="46" t="s">
        <v>185</v>
      </c>
      <c r="I50" s="76" t="s">
        <v>212</v>
      </c>
      <c r="J50" s="76" t="s">
        <v>189</v>
      </c>
      <c r="K50" s="74" t="s">
        <v>186</v>
      </c>
      <c r="L50" s="74" t="s">
        <v>187</v>
      </c>
      <c r="M50" s="75" t="s">
        <v>188</v>
      </c>
      <c r="N50" s="74" t="s">
        <v>60</v>
      </c>
      <c r="O50" s="74" t="s">
        <v>62</v>
      </c>
      <c r="P50" s="74" t="s">
        <v>64</v>
      </c>
      <c r="Q50" s="74" t="s">
        <v>66</v>
      </c>
      <c r="R50" s="74" t="s">
        <v>68</v>
      </c>
      <c r="S50" s="74" t="s">
        <v>108</v>
      </c>
      <c r="T50" s="74" t="s">
        <v>71</v>
      </c>
      <c r="U50" s="74" t="s">
        <v>73</v>
      </c>
      <c r="V50" s="74" t="s">
        <v>75</v>
      </c>
      <c r="W50" s="74" t="s">
        <v>77</v>
      </c>
      <c r="X50" s="74" t="s">
        <v>79</v>
      </c>
      <c r="Y50" s="75" t="s">
        <v>81</v>
      </c>
      <c r="Z50" s="79" t="s">
        <v>199</v>
      </c>
      <c r="AA50" s="74" t="s">
        <v>198</v>
      </c>
      <c r="AB50" s="75" t="s">
        <v>200</v>
      </c>
      <c r="AC50" s="288" t="s">
        <v>537</v>
      </c>
      <c r="AD50" s="74" t="s">
        <v>186</v>
      </c>
      <c r="AE50" s="74" t="s">
        <v>187</v>
      </c>
      <c r="AF50" s="75" t="s">
        <v>188</v>
      </c>
      <c r="AG50" s="288" t="s">
        <v>197</v>
      </c>
    </row>
    <row r="51" spans="1:33">
      <c r="A51" s="275">
        <v>1</v>
      </c>
      <c r="B51" s="36" t="s">
        <v>108</v>
      </c>
      <c r="C51" s="309" t="s">
        <v>528</v>
      </c>
      <c r="D51" s="37">
        <f>IF($C51="","",VLOOKUP($C51,CTPit!$E$10:$BG$214,D$4,FALSE))</f>
        <v>22</v>
      </c>
      <c r="E51" s="38" t="str">
        <f>IF($C51="","",VLOOKUP($C51,CTPit!$E$10:$BG$214,E$4+1,FALSE))</f>
        <v>R</v>
      </c>
      <c r="F51" s="275">
        <f>IF($C51="","",IF(AG51&gt;7,1,0))</f>
        <v>0</v>
      </c>
      <c r="G51" s="275">
        <f>IF($C51="","",IF(AG51&gt;6.5,1,0))</f>
        <v>1</v>
      </c>
      <c r="H51" s="275">
        <f>IF($C51="","",IF(AG51&gt;6,1,0))</f>
        <v>1</v>
      </c>
      <c r="I51" s="98" t="str">
        <f>IF($C51="","",VLOOKUP($C51,CTPit!$E$10:$BG$172,I$49,FALSE))</f>
        <v>R</v>
      </c>
      <c r="J51" s="77">
        <f t="shared" ref="J51:J56" si="87">IF($C51="","",COUNT(N51:Y51))</f>
        <v>4</v>
      </c>
      <c r="K51" s="275">
        <f>IF($C51="","",VLOOKUP($C51,CTPit!$E$10:$BG$172,K$49,FALSE))</f>
        <v>8</v>
      </c>
      <c r="L51" s="275">
        <f>IF($C51="","",VLOOKUP($C51,CTPit!$E$10:$BG$172,L$49,FALSE))</f>
        <v>5</v>
      </c>
      <c r="M51" s="276">
        <f>IF($C51="","",VLOOKUP($C51,CTPit!$E$10:$BG$172,M$49,FALSE))</f>
        <v>3</v>
      </c>
      <c r="N51" s="275">
        <f>IF($C51="","",VLOOKUP($C51,CTPit!$E$10:$BG$172,N$49,FALSE))</f>
        <v>8</v>
      </c>
      <c r="O51" s="275">
        <f>IF($C51="","",VLOOKUP($C51,CTPit!$E$10:$BG$172,O$49,FALSE))</f>
        <v>7</v>
      </c>
      <c r="P51" s="275">
        <f>IF($C51="","",VLOOKUP($C51,CTPit!$E$10:$BG$172,P$49,FALSE))</f>
        <v>5</v>
      </c>
      <c r="Q51" s="275" t="str">
        <f>IF($C51="","",VLOOKUP($C51,CTPit!$E$10:$BG$172,Q$49,FALSE))</f>
        <v>-</v>
      </c>
      <c r="R51" s="275" t="str">
        <f>IF($C51="","",VLOOKUP($C51,CTPit!$E$10:$BG$172,R$49,FALSE))</f>
        <v>-</v>
      </c>
      <c r="S51" s="275" t="str">
        <f>IF($C51="","",VLOOKUP($C51,CTPit!$E$10:$BG$172,S$49,FALSE))</f>
        <v>-</v>
      </c>
      <c r="T51" s="275" t="str">
        <f>IF($C51="","",VLOOKUP($C51,CTPit!$E$10:$BG$172,T$49,FALSE))</f>
        <v>-</v>
      </c>
      <c r="U51" s="275">
        <f>IF($C51="","",VLOOKUP($C51,CTPit!$E$10:$BG$172,U$49,FALSE))</f>
        <v>8</v>
      </c>
      <c r="V51" s="275" t="str">
        <f>IF($C51="","",VLOOKUP($C51,CTPit!$E$10:$BG$172,V$49,FALSE))</f>
        <v>-</v>
      </c>
      <c r="W51" s="275" t="str">
        <f>IF($C51="","",VLOOKUP($C51,CTPit!$E$10:$BG$172,W$49,FALSE))</f>
        <v>-</v>
      </c>
      <c r="X51" s="275" t="str">
        <f>IF($C51="","",VLOOKUP($C51,CTPit!$E$10:$BG$172,X$49,FALSE))</f>
        <v>-</v>
      </c>
      <c r="Y51" s="276" t="str">
        <f>IF($C51="","",VLOOKUP($C51,CTPit!$E$10:$BG$172,Y$49,FALSE))</f>
        <v>-</v>
      </c>
      <c r="Z51" s="53" t="str">
        <f>IF($C51="","",VLOOKUP($C51,CTPit!$E$10:$BG$172,Z$49,FALSE))</f>
        <v>98-100 Mph</v>
      </c>
      <c r="AA51" s="275">
        <f>IF($C51="","",VLOOKUP($C51,CTPit!$E$10:$BG$172,AA$49,FALSE))</f>
        <v>7</v>
      </c>
      <c r="AB51" s="80">
        <f>IF($C51="","",VLOOKUP($C51,CTPit!$E$10:$BG$172,AB$49,FALSE))</f>
        <v>0.54</v>
      </c>
      <c r="AC51" s="289">
        <f>IF($C51="","",VLOOKUP($C51,CTPit!$E$10:$BG$172,AC$49,FALSE))</f>
        <v>5.833333333333333</v>
      </c>
      <c r="AD51" s="275">
        <f>IF($C51="","",VLOOKUP($C51,CTPit!$E$10:$BG$172,AD$49,FALSE))</f>
        <v>8</v>
      </c>
      <c r="AE51" s="275">
        <f>IF($C51="","",VLOOKUP($C51,CTPit!$E$10:$BG$172,AE$49,FALSE))</f>
        <v>6</v>
      </c>
      <c r="AF51" s="276">
        <f>IF($C51="","",VLOOKUP($C51,CTPit!$E$10:$BG$172,AF$49,FALSE))</f>
        <v>5</v>
      </c>
      <c r="AG51" s="289">
        <f>IF($C51="","",VLOOKUP($C51,CTPit!$E$10:$BG$172,AG$49,FALSE))</f>
        <v>6.833333333333333</v>
      </c>
    </row>
    <row r="52" spans="1:33">
      <c r="A52" s="275">
        <v>2</v>
      </c>
      <c r="B52" s="36" t="s">
        <v>108</v>
      </c>
      <c r="C52" s="37" t="s">
        <v>475</v>
      </c>
      <c r="D52" s="37">
        <f>IF($C52="","",VLOOKUP($C52,CTPit!$E$10:$BG$214,D$4,FALSE))</f>
        <v>23</v>
      </c>
      <c r="E52" s="38" t="str">
        <f>IF($C52="","",VLOOKUP($C52,CTPit!$E$10:$BG$214,E$4+1,FALSE))</f>
        <v>L</v>
      </c>
      <c r="F52" s="275">
        <f t="shared" ref="F52:F56" si="88">IF($C52="","",IF(AG52&gt;7,1,0))</f>
        <v>0</v>
      </c>
      <c r="G52" s="275">
        <f t="shared" ref="G52:G56" si="89">IF($C52="","",IF(AG52&gt;6.5,1,0))</f>
        <v>0</v>
      </c>
      <c r="H52" s="275">
        <f t="shared" ref="H52:H56" si="90">IF($C52="","",IF(AG52&gt;6,1,0))</f>
        <v>0</v>
      </c>
      <c r="I52" s="99" t="str">
        <f>IF($C52="","",VLOOKUP($C52,CTPit!$E$10:$BG$172,I$49,FALSE))</f>
        <v>L</v>
      </c>
      <c r="J52" s="77">
        <f t="shared" si="87"/>
        <v>4</v>
      </c>
      <c r="K52" s="275">
        <f>IF($C52="","",VLOOKUP($C52,CTPit!$E$10:$BG$172,K$49,FALSE))</f>
        <v>6</v>
      </c>
      <c r="L52" s="275">
        <f>IF($C52="","",VLOOKUP($C52,CTPit!$E$10:$BG$172,L$49,FALSE))</f>
        <v>4</v>
      </c>
      <c r="M52" s="276">
        <f>IF($C52="","",VLOOKUP($C52,CTPit!$E$10:$BG$172,M$49,FALSE))</f>
        <v>3</v>
      </c>
      <c r="N52" s="275">
        <f>IF($C52="","",VLOOKUP($C52,CTPit!$E$10:$BG$172,N$49,FALSE))</f>
        <v>7</v>
      </c>
      <c r="O52" s="275">
        <f>IF($C52="","",VLOOKUP($C52,CTPit!$E$10:$BG$172,O$49,FALSE))</f>
        <v>7</v>
      </c>
      <c r="P52" s="275" t="str">
        <f>IF($C52="","",VLOOKUP($C52,CTPit!$E$10:$BG$172,P$49,FALSE))</f>
        <v>-</v>
      </c>
      <c r="Q52" s="275">
        <f>IF($C52="","",VLOOKUP($C52,CTPit!$E$10:$BG$172,Q$49,FALSE))</f>
        <v>3</v>
      </c>
      <c r="R52" s="275" t="str">
        <f>IF($C52="","",VLOOKUP($C52,CTPit!$E$10:$BG$172,R$49,FALSE))</f>
        <v>-</v>
      </c>
      <c r="S52" s="275" t="str">
        <f>IF($C52="","",VLOOKUP($C52,CTPit!$E$10:$BG$172,S$49,FALSE))</f>
        <v>-</v>
      </c>
      <c r="T52" s="275" t="str">
        <f>IF($C52="","",VLOOKUP($C52,CTPit!$E$10:$BG$172,T$49,FALSE))</f>
        <v>-</v>
      </c>
      <c r="U52" s="275">
        <f>IF($C52="","",VLOOKUP($C52,CTPit!$E$10:$BG$172,U$49,FALSE))</f>
        <v>6</v>
      </c>
      <c r="V52" s="275" t="str">
        <f>IF($C52="","",VLOOKUP($C52,CTPit!$E$10:$BG$172,V$49,FALSE))</f>
        <v>-</v>
      </c>
      <c r="W52" s="275" t="str">
        <f>IF($C52="","",VLOOKUP($C52,CTPit!$E$10:$BG$172,W$49,FALSE))</f>
        <v>-</v>
      </c>
      <c r="X52" s="275" t="str">
        <f>IF($C52="","",VLOOKUP($C52,CTPit!$E$10:$BG$172,X$49,FALSE))</f>
        <v>-</v>
      </c>
      <c r="Y52" s="276" t="str">
        <f>IF($C52="","",VLOOKUP($C52,CTPit!$E$10:$BG$172,Y$49,FALSE))</f>
        <v>-</v>
      </c>
      <c r="Z52" s="53" t="str">
        <f>IF($C52="","",VLOOKUP($C52,CTPit!$E$10:$BG$172,Z$49,FALSE))</f>
        <v>94-96 Mph</v>
      </c>
      <c r="AA52" s="275">
        <f>IF($C52="","",VLOOKUP($C52,CTPit!$E$10:$BG$172,AA$49,FALSE))</f>
        <v>9</v>
      </c>
      <c r="AB52" s="80">
        <f>IF($C52="","",VLOOKUP($C52,CTPit!$E$10:$BG$172,AB$49,FALSE))</f>
        <v>0.47</v>
      </c>
      <c r="AC52" s="67">
        <f>IF($C52="","",VLOOKUP($C52,CTPit!$E$10:$BG$172,AC$49,FALSE))</f>
        <v>4.833333333333333</v>
      </c>
      <c r="AD52" s="275">
        <f>IF($C52="","",VLOOKUP($C52,CTPit!$E$10:$BG$172,AD$49,FALSE))</f>
        <v>6</v>
      </c>
      <c r="AE52" s="275">
        <f>IF($C52="","",VLOOKUP($C52,CTPit!$E$10:$BG$172,AE$49,FALSE))</f>
        <v>4</v>
      </c>
      <c r="AF52" s="276">
        <f>IF($C52="","",VLOOKUP($C52,CTPit!$E$10:$BG$172,AF$49,FALSE))</f>
        <v>6</v>
      </c>
      <c r="AG52" s="67">
        <f>IF($C52="","",VLOOKUP($C52,CTPit!$E$10:$BG$172,AG$49,FALSE))</f>
        <v>5.833333333333333</v>
      </c>
    </row>
    <row r="53" spans="1:33">
      <c r="A53" s="275">
        <v>3</v>
      </c>
      <c r="B53" s="36" t="s">
        <v>108</v>
      </c>
      <c r="C53" s="65"/>
      <c r="D53" s="37" t="str">
        <f>IF($C53="","",VLOOKUP($C53,CTPit!$E$10:$BG$214,D$4,FALSE))</f>
        <v/>
      </c>
      <c r="E53" s="38" t="str">
        <f>IF($C53="","",VLOOKUP($C53,CTPit!$E$10:$BG$214,E$4+1,FALSE))</f>
        <v/>
      </c>
      <c r="F53" s="275" t="str">
        <f t="shared" si="88"/>
        <v/>
      </c>
      <c r="G53" s="275" t="str">
        <f t="shared" si="89"/>
        <v/>
      </c>
      <c r="H53" s="275" t="str">
        <f t="shared" si="90"/>
        <v/>
      </c>
      <c r="I53" s="99" t="str">
        <f>IF($C53="","",VLOOKUP($C53,CTPit!$E$10:$BG$172,I$49,FALSE))</f>
        <v/>
      </c>
      <c r="J53" s="77" t="str">
        <f t="shared" si="87"/>
        <v/>
      </c>
      <c r="K53" s="275" t="str">
        <f>IF($C53="","",VLOOKUP($C53,CTPit!$E$10:$BG$172,K$49,FALSE))</f>
        <v/>
      </c>
      <c r="L53" s="275" t="str">
        <f>IF($C53="","",VLOOKUP($C53,CTPit!$E$10:$BG$172,L$49,FALSE))</f>
        <v/>
      </c>
      <c r="M53" s="276" t="str">
        <f>IF($C53="","",VLOOKUP($C53,CTPit!$E$10:$BG$172,M$49,FALSE))</f>
        <v/>
      </c>
      <c r="N53" s="275" t="str">
        <f>IF($C53="","",VLOOKUP($C53,CTPit!$E$10:$BG$172,N$49,FALSE))</f>
        <v/>
      </c>
      <c r="O53" s="275" t="str">
        <f>IF($C53="","",VLOOKUP($C53,CTPit!$E$10:$BG$172,O$49,FALSE))</f>
        <v/>
      </c>
      <c r="P53" s="275" t="str">
        <f>IF($C53="","",VLOOKUP($C53,CTPit!$E$10:$BG$172,P$49,FALSE))</f>
        <v/>
      </c>
      <c r="Q53" s="275" t="str">
        <f>IF($C53="","",VLOOKUP($C53,CTPit!$E$10:$BG$172,Q$49,FALSE))</f>
        <v/>
      </c>
      <c r="R53" s="275" t="str">
        <f>IF($C53="","",VLOOKUP($C53,CTPit!$E$10:$BG$172,R$49,FALSE))</f>
        <v/>
      </c>
      <c r="S53" s="275" t="str">
        <f>IF($C53="","",VLOOKUP($C53,CTPit!$E$10:$BG$172,S$49,FALSE))</f>
        <v/>
      </c>
      <c r="T53" s="275" t="str">
        <f>IF($C53="","",VLOOKUP($C53,CTPit!$E$10:$BG$172,T$49,FALSE))</f>
        <v/>
      </c>
      <c r="U53" s="275" t="str">
        <f>IF($C53="","",VLOOKUP($C53,CTPit!$E$10:$BG$172,U$49,FALSE))</f>
        <v/>
      </c>
      <c r="V53" s="275" t="str">
        <f>IF($C53="","",VLOOKUP($C53,CTPit!$E$10:$BG$172,V$49,FALSE))</f>
        <v/>
      </c>
      <c r="W53" s="275" t="str">
        <f>IF($C53="","",VLOOKUP($C53,CTPit!$E$10:$BG$172,W$49,FALSE))</f>
        <v/>
      </c>
      <c r="X53" s="275" t="str">
        <f>IF($C53="","",VLOOKUP($C53,CTPit!$E$10:$BG$172,X$49,FALSE))</f>
        <v/>
      </c>
      <c r="Y53" s="276" t="str">
        <f>IF($C53="","",VLOOKUP($C53,CTPit!$E$10:$BG$172,Y$49,FALSE))</f>
        <v/>
      </c>
      <c r="Z53" s="53" t="str">
        <f>IF($C53="","",VLOOKUP($C53,CTPit!$E$10:$BG$172,Z$49,FALSE))</f>
        <v/>
      </c>
      <c r="AA53" s="275" t="str">
        <f>IF($C53="","",VLOOKUP($C53,CTPit!$E$10:$BG$172,AA$49,FALSE))</f>
        <v/>
      </c>
      <c r="AB53" s="80" t="str">
        <f>IF($C53="","",VLOOKUP($C53,CTPit!$E$10:$BG$172,AB$49,FALSE))</f>
        <v/>
      </c>
      <c r="AC53" s="67" t="str">
        <f>IF($C53="","",VLOOKUP($C53,CTPit!$E$10:$BG$172,AC$49,FALSE))</f>
        <v/>
      </c>
      <c r="AD53" s="275" t="str">
        <f>IF($C53="","",VLOOKUP($C53,CTPit!$E$10:$BG$172,AD$49,FALSE))</f>
        <v/>
      </c>
      <c r="AE53" s="275" t="str">
        <f>IF($C53="","",VLOOKUP($C53,CTPit!$E$10:$BG$172,AE$49,FALSE))</f>
        <v/>
      </c>
      <c r="AF53" s="276" t="str">
        <f>IF($C53="","",VLOOKUP($C53,CTPit!$E$10:$BG$172,AF$49,FALSE))</f>
        <v/>
      </c>
      <c r="AG53" s="67" t="str">
        <f>IF($C53="","",VLOOKUP($C53,CTPit!$E$10:$BG$172,AG$49,FALSE))</f>
        <v/>
      </c>
    </row>
    <row r="54" spans="1:33">
      <c r="A54" s="275">
        <v>4</v>
      </c>
      <c r="B54" s="36" t="s">
        <v>108</v>
      </c>
      <c r="C54" s="65" t="s">
        <v>404</v>
      </c>
      <c r="D54" s="37">
        <f>IF($C54="","",VLOOKUP($C54,CTPit!$E$10:$BG$214,D$4,FALSE))</f>
        <v>23</v>
      </c>
      <c r="E54" s="38" t="str">
        <f>IF($C54="","",VLOOKUP($C54,CTPit!$E$10:$BG$214,E$4+1,FALSE))</f>
        <v>L</v>
      </c>
      <c r="F54" s="275">
        <f t="shared" si="88"/>
        <v>0</v>
      </c>
      <c r="G54" s="275">
        <f t="shared" si="89"/>
        <v>0</v>
      </c>
      <c r="H54" s="275">
        <f t="shared" si="90"/>
        <v>0</v>
      </c>
      <c r="I54" s="99" t="str">
        <f>IF($C54="","",VLOOKUP($C54,CTPit!$E$10:$BG$172,I$49,FALSE))</f>
        <v>L</v>
      </c>
      <c r="J54" s="77">
        <f t="shared" si="87"/>
        <v>4</v>
      </c>
      <c r="K54" s="275">
        <f>IF($C54="","",VLOOKUP($C54,CTPit!$E$10:$BG$172,K$49,FALSE))</f>
        <v>6</v>
      </c>
      <c r="L54" s="275">
        <f>IF($C54="","",VLOOKUP($C54,CTPit!$E$10:$BG$172,L$49,FALSE))</f>
        <v>4</v>
      </c>
      <c r="M54" s="276">
        <f>IF($C54="","",VLOOKUP($C54,CTPit!$E$10:$BG$172,M$49,FALSE))</f>
        <v>5</v>
      </c>
      <c r="N54" s="275">
        <f>IF($C54="","",VLOOKUP($C54,CTPit!$E$10:$BG$172,N$49,FALSE))</f>
        <v>7</v>
      </c>
      <c r="O54" s="275">
        <f>IF($C54="","",VLOOKUP($C54,CTPit!$E$10:$BG$172,O$49,FALSE))</f>
        <v>7</v>
      </c>
      <c r="P54" s="275">
        <f>IF($C54="","",VLOOKUP($C54,CTPit!$E$10:$BG$172,P$49,FALSE))</f>
        <v>6</v>
      </c>
      <c r="Q54" s="275" t="str">
        <f>IF($C54="","",VLOOKUP($C54,CTPit!$E$10:$BG$172,Q$49,FALSE))</f>
        <v>-</v>
      </c>
      <c r="R54" s="275">
        <f>IF($C54="","",VLOOKUP($C54,CTPit!$E$10:$BG$172,R$49,FALSE))</f>
        <v>5</v>
      </c>
      <c r="S54" s="275" t="str">
        <f>IF($C54="","",VLOOKUP($C54,CTPit!$E$10:$BG$172,S$49,FALSE))</f>
        <v>-</v>
      </c>
      <c r="T54" s="275" t="str">
        <f>IF($C54="","",VLOOKUP($C54,CTPit!$E$10:$BG$172,T$49,FALSE))</f>
        <v>-</v>
      </c>
      <c r="U54" s="275" t="str">
        <f>IF($C54="","",VLOOKUP($C54,CTPit!$E$10:$BG$172,U$49,FALSE))</f>
        <v>-</v>
      </c>
      <c r="V54" s="275" t="str">
        <f>IF($C54="","",VLOOKUP($C54,CTPit!$E$10:$BG$172,V$49,FALSE))</f>
        <v>-</v>
      </c>
      <c r="W54" s="275" t="str">
        <f>IF($C54="","",VLOOKUP($C54,CTPit!$E$10:$BG$172,W$49,FALSE))</f>
        <v>-</v>
      </c>
      <c r="X54" s="275" t="str">
        <f>IF($C54="","",VLOOKUP($C54,CTPit!$E$10:$BG$172,X$49,FALSE))</f>
        <v>-</v>
      </c>
      <c r="Y54" s="276" t="str">
        <f>IF($C54="","",VLOOKUP($C54,CTPit!$E$10:$BG$172,Y$49,FALSE))</f>
        <v>-</v>
      </c>
      <c r="Z54" s="53" t="str">
        <f>IF($C54="","",VLOOKUP($C54,CTPit!$E$10:$BG$172,Z$49,FALSE))</f>
        <v>95-97 Mph</v>
      </c>
      <c r="AA54" s="275">
        <f>IF($C54="","",VLOOKUP($C54,CTPit!$E$10:$BG$172,AA$49,FALSE))</f>
        <v>10</v>
      </c>
      <c r="AB54" s="80">
        <f>IF($C54="","",VLOOKUP($C54,CTPit!$E$10:$BG$172,AB$49,FALSE))</f>
        <v>0.48</v>
      </c>
      <c r="AC54" s="67">
        <f>IF($C54="","",VLOOKUP($C54,CTPit!$E$10:$BG$172,AC$49,FALSE))</f>
        <v>5.5</v>
      </c>
      <c r="AD54" s="275">
        <f>IF($C54="","",VLOOKUP($C54,CTPit!$E$10:$BG$172,AD$49,FALSE))</f>
        <v>6</v>
      </c>
      <c r="AE54" s="275">
        <f>IF($C54="","",VLOOKUP($C54,CTPit!$E$10:$BG$172,AE$49,FALSE))</f>
        <v>4</v>
      </c>
      <c r="AF54" s="276">
        <f>IF($C54="","",VLOOKUP($C54,CTPit!$E$10:$BG$172,AF$49,FALSE))</f>
        <v>5</v>
      </c>
      <c r="AG54" s="67">
        <f>IF($C54="","",VLOOKUP($C54,CTPit!$E$10:$BG$172,AG$49,FALSE))</f>
        <v>5.5</v>
      </c>
    </row>
    <row r="55" spans="1:33">
      <c r="A55" s="275">
        <v>5</v>
      </c>
      <c r="B55" s="36" t="s">
        <v>108</v>
      </c>
      <c r="C55" s="65"/>
      <c r="D55" s="37" t="str">
        <f>IF($C55="","",VLOOKUP($C55,CTPit!$E$10:$BG$214,D$4,FALSE))</f>
        <v/>
      </c>
      <c r="E55" s="38" t="str">
        <f>IF($C55="","",VLOOKUP($C55,CTPit!$E$10:$BG$214,E$4+1,FALSE))</f>
        <v/>
      </c>
      <c r="F55" s="275" t="str">
        <f t="shared" si="88"/>
        <v/>
      </c>
      <c r="G55" s="275" t="str">
        <f t="shared" si="89"/>
        <v/>
      </c>
      <c r="H55" s="275" t="str">
        <f t="shared" si="90"/>
        <v/>
      </c>
      <c r="I55" s="99" t="str">
        <f>IF($C55="","",VLOOKUP($C55,CTPit!$E$10:$BG$172,I$49,FALSE))</f>
        <v/>
      </c>
      <c r="J55" s="77" t="str">
        <f t="shared" si="87"/>
        <v/>
      </c>
      <c r="K55" s="275" t="str">
        <f>IF($C55="","",VLOOKUP($C55,CTPit!$E$10:$BG$172,K$49,FALSE))</f>
        <v/>
      </c>
      <c r="L55" s="275" t="str">
        <f>IF($C55="","",VLOOKUP($C55,CTPit!$E$10:$BG$172,L$49,FALSE))</f>
        <v/>
      </c>
      <c r="M55" s="276" t="str">
        <f>IF($C55="","",VLOOKUP($C55,CTPit!$E$10:$BG$172,M$49,FALSE))</f>
        <v/>
      </c>
      <c r="N55" s="275" t="str">
        <f>IF($C55="","",VLOOKUP($C55,CTPit!$E$10:$BG$172,N$49,FALSE))</f>
        <v/>
      </c>
      <c r="O55" s="275" t="str">
        <f>IF($C55="","",VLOOKUP($C55,CTPit!$E$10:$BG$172,O$49,FALSE))</f>
        <v/>
      </c>
      <c r="P55" s="275" t="str">
        <f>IF($C55="","",VLOOKUP($C55,CTPit!$E$10:$BG$172,P$49,FALSE))</f>
        <v/>
      </c>
      <c r="Q55" s="275" t="str">
        <f>IF($C55="","",VLOOKUP($C55,CTPit!$E$10:$BG$172,Q$49,FALSE))</f>
        <v/>
      </c>
      <c r="R55" s="275" t="str">
        <f>IF($C55="","",VLOOKUP($C55,CTPit!$E$10:$BG$172,R$49,FALSE))</f>
        <v/>
      </c>
      <c r="S55" s="275" t="str">
        <f>IF($C55="","",VLOOKUP($C55,CTPit!$E$10:$BG$172,S$49,FALSE))</f>
        <v/>
      </c>
      <c r="T55" s="275" t="str">
        <f>IF($C55="","",VLOOKUP($C55,CTPit!$E$10:$BG$172,T$49,FALSE))</f>
        <v/>
      </c>
      <c r="U55" s="275" t="str">
        <f>IF($C55="","",VLOOKUP($C55,CTPit!$E$10:$BG$172,U$49,FALSE))</f>
        <v/>
      </c>
      <c r="V55" s="275" t="str">
        <f>IF($C55="","",VLOOKUP($C55,CTPit!$E$10:$BG$172,V$49,FALSE))</f>
        <v/>
      </c>
      <c r="W55" s="275" t="str">
        <f>IF($C55="","",VLOOKUP($C55,CTPit!$E$10:$BG$172,W$49,FALSE))</f>
        <v/>
      </c>
      <c r="X55" s="275" t="str">
        <f>IF($C55="","",VLOOKUP($C55,CTPit!$E$10:$BG$172,X$49,FALSE))</f>
        <v/>
      </c>
      <c r="Y55" s="276" t="str">
        <f>IF($C55="","",VLOOKUP($C55,CTPit!$E$10:$BG$172,Y$49,FALSE))</f>
        <v/>
      </c>
      <c r="Z55" s="53" t="str">
        <f>IF($C55="","",VLOOKUP($C55,CTPit!$E$10:$BG$172,Z$49,FALSE))</f>
        <v/>
      </c>
      <c r="AA55" s="275" t="str">
        <f>IF($C55="","",VLOOKUP($C55,CTPit!$E$10:$BG$172,AA$49,FALSE))</f>
        <v/>
      </c>
      <c r="AB55" s="80" t="str">
        <f>IF($C55="","",VLOOKUP($C55,CTPit!$E$10:$BG$172,AB$49,FALSE))</f>
        <v/>
      </c>
      <c r="AC55" s="67" t="str">
        <f>IF($C55="","",VLOOKUP($C55,CTPit!$E$10:$BG$172,AC$49,FALSE))</f>
        <v/>
      </c>
      <c r="AD55" s="275" t="str">
        <f>IF($C55="","",VLOOKUP($C55,CTPit!$E$10:$BG$172,AD$49,FALSE))</f>
        <v/>
      </c>
      <c r="AE55" s="275" t="str">
        <f>IF($C55="","",VLOOKUP($C55,CTPit!$E$10:$BG$172,AE$49,FALSE))</f>
        <v/>
      </c>
      <c r="AF55" s="276" t="str">
        <f>IF($C55="","",VLOOKUP($C55,CTPit!$E$10:$BG$172,AF$49,FALSE))</f>
        <v/>
      </c>
      <c r="AG55" s="67" t="str">
        <f>IF($C55="","",VLOOKUP($C55,CTPit!$E$10:$BG$172,AG$49,FALSE))</f>
        <v/>
      </c>
    </row>
    <row r="56" spans="1:33">
      <c r="A56" s="275">
        <v>6</v>
      </c>
      <c r="B56" s="39" t="s">
        <v>127</v>
      </c>
      <c r="C56" s="273"/>
      <c r="D56" s="40" t="str">
        <f>IF($C56="","",VLOOKUP($C56,CTPit!$E$10:$BG$214,D$4,FALSE))</f>
        <v/>
      </c>
      <c r="E56" s="42" t="str">
        <f>IF($C56="","",VLOOKUP($C56,CTPit!$E$10:$BG$214,E$4+1,FALSE))</f>
        <v/>
      </c>
      <c r="F56" s="273" t="str">
        <f t="shared" si="88"/>
        <v/>
      </c>
      <c r="G56" s="273" t="str">
        <f t="shared" si="89"/>
        <v/>
      </c>
      <c r="H56" s="273" t="str">
        <f t="shared" si="90"/>
        <v/>
      </c>
      <c r="I56" s="100" t="str">
        <f>IF($C56="","",VLOOKUP($C56,CTPit!$E$10:$BG$172,I$49,FALSE))</f>
        <v/>
      </c>
      <c r="J56" s="78" t="str">
        <f t="shared" si="87"/>
        <v/>
      </c>
      <c r="K56" s="273" t="str">
        <f>IF($C56="","",VLOOKUP($C56,CTPit!$E$10:$BG$172,K$49,FALSE))</f>
        <v/>
      </c>
      <c r="L56" s="273" t="str">
        <f>IF($C56="","",VLOOKUP($C56,CTPit!$E$10:$BG$172,L$49,FALSE))</f>
        <v/>
      </c>
      <c r="M56" s="274" t="str">
        <f>IF($C56="","",VLOOKUP($C56,CTPit!$E$10:$BG$172,M$49,FALSE))</f>
        <v/>
      </c>
      <c r="N56" s="273" t="str">
        <f>IF($C56="","",VLOOKUP($C56,CTPit!$E$10:$BG$172,N$49,FALSE))</f>
        <v/>
      </c>
      <c r="O56" s="273" t="str">
        <f>IF($C56="","",VLOOKUP($C56,CTPit!$E$10:$BG$172,O$49,FALSE))</f>
        <v/>
      </c>
      <c r="P56" s="273" t="str">
        <f>IF($C56="","",VLOOKUP($C56,CTPit!$E$10:$BG$172,P$49,FALSE))</f>
        <v/>
      </c>
      <c r="Q56" s="273" t="str">
        <f>IF($C56="","",VLOOKUP($C56,CTPit!$E$10:$BG$172,Q$49,FALSE))</f>
        <v/>
      </c>
      <c r="R56" s="273" t="str">
        <f>IF($C56="","",VLOOKUP($C56,CTPit!$E$10:$BG$172,R$49,FALSE))</f>
        <v/>
      </c>
      <c r="S56" s="273" t="str">
        <f>IF($C56="","",VLOOKUP($C56,CTPit!$E$10:$BG$172,S$49,FALSE))</f>
        <v/>
      </c>
      <c r="T56" s="273" t="str">
        <f>IF($C56="","",VLOOKUP($C56,CTPit!$E$10:$BG$172,T$49,FALSE))</f>
        <v/>
      </c>
      <c r="U56" s="273" t="str">
        <f>IF($C56="","",VLOOKUP($C56,CTPit!$E$10:$BG$172,U$49,FALSE))</f>
        <v/>
      </c>
      <c r="V56" s="273" t="str">
        <f>IF($C56="","",VLOOKUP($C56,CTPit!$E$10:$BG$172,V$49,FALSE))</f>
        <v/>
      </c>
      <c r="W56" s="273" t="str">
        <f>IF($C56="","",VLOOKUP($C56,CTPit!$E$10:$BG$172,W$49,FALSE))</f>
        <v/>
      </c>
      <c r="X56" s="273" t="str">
        <f>IF($C56="","",VLOOKUP($C56,CTPit!$E$10:$BG$172,X$49,FALSE))</f>
        <v/>
      </c>
      <c r="Y56" s="274" t="str">
        <f>IF($C56="","",VLOOKUP($C56,CTPit!$E$10:$BG$172,Y$49,FALSE))</f>
        <v/>
      </c>
      <c r="Z56" s="54" t="str">
        <f>IF($C56="","",VLOOKUP($C56,CTPit!$E$10:$BG$172,Z$49,FALSE))</f>
        <v/>
      </c>
      <c r="AA56" s="273" t="str">
        <f>IF($C56="","",VLOOKUP($C56,CTPit!$E$10:$BG$172,AA$49,FALSE))</f>
        <v/>
      </c>
      <c r="AB56" s="81" t="str">
        <f>IF($C56="","",VLOOKUP($C56,CTPit!$E$10:$BG$172,AB$49,FALSE))</f>
        <v/>
      </c>
      <c r="AC56" s="68" t="str">
        <f>IF($C56="","",VLOOKUP($C56,CTPit!$E$10:$BG$172,AC$49,FALSE))</f>
        <v/>
      </c>
      <c r="AD56" s="273" t="str">
        <f>IF($C56="","",VLOOKUP($C56,CTPit!$E$10:$BG$172,AD$49,FALSE))</f>
        <v/>
      </c>
      <c r="AE56" s="273" t="str">
        <f>IF($C56="","",VLOOKUP($C56,CTPit!$E$10:$BG$172,AE$49,FALSE))</f>
        <v/>
      </c>
      <c r="AF56" s="274" t="str">
        <f>IF($C56="","",VLOOKUP($C56,CTPit!$E$10:$BG$172,AF$49,FALSE))</f>
        <v/>
      </c>
      <c r="AG56" s="68" t="str">
        <f>IF($C56="","",VLOOKUP($C56,CTPit!$E$10:$BG$172,AG$49,FALSE))</f>
        <v/>
      </c>
    </row>
    <row r="57" spans="1:33">
      <c r="Z57" s="275"/>
      <c r="AA57" s="275"/>
      <c r="AB57" s="275"/>
    </row>
    <row r="58" spans="1:33" ht="57">
      <c r="A58" s="25" t="s">
        <v>193</v>
      </c>
      <c r="B58" s="270" t="s">
        <v>128</v>
      </c>
      <c r="C58" s="44" t="s">
        <v>118</v>
      </c>
      <c r="D58" s="44" t="s">
        <v>91</v>
      </c>
      <c r="E58" s="44" t="s">
        <v>102</v>
      </c>
      <c r="F58" s="55" t="s">
        <v>190</v>
      </c>
      <c r="G58" s="47" t="s">
        <v>191</v>
      </c>
      <c r="H58" s="56" t="s">
        <v>192</v>
      </c>
      <c r="I58" s="76" t="s">
        <v>212</v>
      </c>
      <c r="J58" s="47" t="s">
        <v>189</v>
      </c>
      <c r="K58" s="79" t="s">
        <v>186</v>
      </c>
      <c r="L58" s="74" t="s">
        <v>187</v>
      </c>
      <c r="M58" s="75" t="s">
        <v>188</v>
      </c>
      <c r="N58" s="74" t="s">
        <v>60</v>
      </c>
      <c r="O58" s="74" t="s">
        <v>62</v>
      </c>
      <c r="P58" s="74" t="s">
        <v>64</v>
      </c>
      <c r="Q58" s="74" t="s">
        <v>66</v>
      </c>
      <c r="R58" s="74" t="s">
        <v>68</v>
      </c>
      <c r="S58" s="74" t="s">
        <v>108</v>
      </c>
      <c r="T58" s="74" t="s">
        <v>71</v>
      </c>
      <c r="U58" s="74" t="s">
        <v>73</v>
      </c>
      <c r="V58" s="74" t="s">
        <v>75</v>
      </c>
      <c r="W58" s="74" t="s">
        <v>77</v>
      </c>
      <c r="X58" s="74" t="s">
        <v>79</v>
      </c>
      <c r="Y58" s="75" t="s">
        <v>81</v>
      </c>
      <c r="Z58" s="79" t="s">
        <v>199</v>
      </c>
      <c r="AA58" s="74" t="s">
        <v>198</v>
      </c>
      <c r="AB58" s="75" t="s">
        <v>200</v>
      </c>
      <c r="AC58" s="288" t="s">
        <v>537</v>
      </c>
      <c r="AD58" s="74" t="s">
        <v>186</v>
      </c>
      <c r="AE58" s="74" t="s">
        <v>187</v>
      </c>
      <c r="AF58" s="75" t="s">
        <v>188</v>
      </c>
      <c r="AG58" s="288" t="s">
        <v>197</v>
      </c>
    </row>
    <row r="59" spans="1:33">
      <c r="A59">
        <v>1</v>
      </c>
      <c r="B59" s="36" t="s">
        <v>109</v>
      </c>
      <c r="C59" s="37"/>
      <c r="D59" s="37" t="str">
        <f>IF($C59="","",VLOOKUP($C59,CTPit!$E$10:$BG$214,D$4,FALSE))</f>
        <v/>
      </c>
      <c r="E59" s="37" t="str">
        <f>IF($C59="","",VLOOKUP($C59,CTPit!$E$10:$BG$214,E$4+1,FALSE))</f>
        <v/>
      </c>
      <c r="F59" s="53" t="str">
        <f t="shared" ref="F59:F60" si="91">IF($C59="","",IF(AG59&gt;7,1,0))</f>
        <v/>
      </c>
      <c r="G59" s="275" t="str">
        <f t="shared" ref="G59:G60" si="92">IF($C59="","",IF(AG59&gt;6.5,1,0))</f>
        <v/>
      </c>
      <c r="H59" s="276" t="str">
        <f t="shared" ref="H59:H60" si="93">IF($C59="","",IF(AG59&gt;6,1,0))</f>
        <v/>
      </c>
      <c r="I59" s="98" t="str">
        <f>IF($C59="","",VLOOKUP($C59,CTPit!$E$10:$BG$172,I$49,FALSE))</f>
        <v/>
      </c>
      <c r="J59" s="275" t="str">
        <f>IF($C59="","",COUNT(N59:Y59))</f>
        <v/>
      </c>
      <c r="K59" s="53" t="str">
        <f>IF($C59="","",VLOOKUP($C59,CTPit!$E$10:$BG$172,K$49,FALSE))</f>
        <v/>
      </c>
      <c r="L59" s="275" t="str">
        <f>IF($C59="","",VLOOKUP($C59,CTPit!$E$10:$BG$172,L$49,FALSE))</f>
        <v/>
      </c>
      <c r="M59" s="276" t="str">
        <f>IF($C59="","",VLOOKUP($C59,CTPit!$E$10:$BG$172,M$49,FALSE))</f>
        <v/>
      </c>
      <c r="N59" s="275" t="str">
        <f>IF($C59="","",VLOOKUP($C59,CTPit!$E$10:$BG$172,N$49,FALSE))</f>
        <v/>
      </c>
      <c r="O59" s="275" t="str">
        <f>IF($C59="","",VLOOKUP($C59,CTPit!$E$10:$BG$172,O$49,FALSE))</f>
        <v/>
      </c>
      <c r="P59" s="275" t="str">
        <f>IF($C59="","",VLOOKUP($C59,CTPit!$E$10:$BG$172,P$49,FALSE))</f>
        <v/>
      </c>
      <c r="Q59" s="275" t="str">
        <f>IF($C59="","",VLOOKUP($C59,CTPit!$E$10:$BG$172,Q$49,FALSE))</f>
        <v/>
      </c>
      <c r="R59" s="275" t="str">
        <f>IF($C59="","",VLOOKUP($C59,CTPit!$E$10:$BG$172,R$49,FALSE))</f>
        <v/>
      </c>
      <c r="S59" s="275" t="str">
        <f>IF($C59="","",VLOOKUP($C59,CTPit!$E$10:$BG$172,S$49,FALSE))</f>
        <v/>
      </c>
      <c r="T59" s="275" t="str">
        <f>IF($C59="","",VLOOKUP($C59,CTPit!$E$10:$BG$172,T$49,FALSE))</f>
        <v/>
      </c>
      <c r="U59" s="275" t="str">
        <f>IF($C59="","",VLOOKUP($C59,CTPit!$E$10:$BG$172,U$49,FALSE))</f>
        <v/>
      </c>
      <c r="V59" s="275" t="str">
        <f>IF($C59="","",VLOOKUP($C59,CTPit!$E$10:$BG$172,V$49,FALSE))</f>
        <v/>
      </c>
      <c r="W59" s="275" t="str">
        <f>IF($C59="","",VLOOKUP($C59,CTPit!$E$10:$BG$172,W$49,FALSE))</f>
        <v/>
      </c>
      <c r="X59" s="275" t="str">
        <f>IF($C59="","",VLOOKUP($C59,CTPit!$E$10:$BG$172,X$49,FALSE))</f>
        <v/>
      </c>
      <c r="Y59" s="276" t="str">
        <f>IF($C59="","",VLOOKUP($C59,CTPit!$E$10:$BG$172,Y$49,FALSE))</f>
        <v/>
      </c>
      <c r="Z59" s="53" t="str">
        <f>IF($C59="","",VLOOKUP($C59,CTPit!$E$10:$BG$172,Z$49,FALSE))</f>
        <v/>
      </c>
      <c r="AA59" s="275" t="str">
        <f>IF($C59="","",VLOOKUP($C59,CTPit!$E$10:$BG$172,AA$49,FALSE))</f>
        <v/>
      </c>
      <c r="AB59" s="80" t="str">
        <f>IF($C59="","",VLOOKUP($C59,CTPit!$E$10:$BG$172,AB$49,FALSE))</f>
        <v/>
      </c>
      <c r="AC59" s="289" t="str">
        <f>IF($C59="","",VLOOKUP($C59,CTPit!$E$10:$BG$172,AC$49,FALSE))</f>
        <v/>
      </c>
      <c r="AD59" s="275" t="str">
        <f>IF($C59="","",VLOOKUP($C59,CTPit!$E$10:$BG$172,AD$49,FALSE))</f>
        <v/>
      </c>
      <c r="AE59" s="275" t="str">
        <f>IF($C59="","",VLOOKUP($C59,CTPit!$E$10:$BG$172,AE$49,FALSE))</f>
        <v/>
      </c>
      <c r="AF59" s="276" t="str">
        <f>IF($C59="","",VLOOKUP($C59,CTPit!$E$10:$BG$172,AF$49,FALSE))</f>
        <v/>
      </c>
      <c r="AG59" s="289" t="str">
        <f>IF($C59="","",VLOOKUP($C59,CTPit!$E$10:$BG$172,AG$49,FALSE))</f>
        <v/>
      </c>
    </row>
    <row r="60" spans="1:33">
      <c r="A60">
        <v>2</v>
      </c>
      <c r="B60" s="39" t="s">
        <v>129</v>
      </c>
      <c r="C60" s="40"/>
      <c r="D60" s="40" t="str">
        <f>IF($C60="","",VLOOKUP($C60,CTPit!$E$10:$BG$214,D$4,FALSE))</f>
        <v/>
      </c>
      <c r="E60" s="40" t="str">
        <f>IF($C60="","",VLOOKUP($C60,CTPit!$E$10:$BG$214,E$4+1,FALSE))</f>
        <v/>
      </c>
      <c r="F60" s="54" t="str">
        <f t="shared" si="91"/>
        <v/>
      </c>
      <c r="G60" s="273" t="str">
        <f t="shared" si="92"/>
        <v/>
      </c>
      <c r="H60" s="274" t="str">
        <f t="shared" si="93"/>
        <v/>
      </c>
      <c r="I60" s="100" t="str">
        <f>IF($C60="","",VLOOKUP($C60,CTPit!$E$10:$BG$172,I$49,FALSE))</f>
        <v/>
      </c>
      <c r="J60" s="273" t="str">
        <f>IF($C60="","",COUNT(N60:Y60))</f>
        <v/>
      </c>
      <c r="K60" s="54" t="str">
        <f>IF($C60="","",VLOOKUP($C60,CTPit!$E$10:$BG$172,K$49,FALSE))</f>
        <v/>
      </c>
      <c r="L60" s="273" t="str">
        <f>IF($C60="","",VLOOKUP($C60,CTPit!$E$10:$BG$172,L$49,FALSE))</f>
        <v/>
      </c>
      <c r="M60" s="274" t="str">
        <f>IF($C60="","",VLOOKUP($C60,CTPit!$E$10:$BG$172,M$49,FALSE))</f>
        <v/>
      </c>
      <c r="N60" s="273" t="str">
        <f>IF($C60="","",VLOOKUP($C60,CTPit!$E$10:$BG$172,N$49,FALSE))</f>
        <v/>
      </c>
      <c r="O60" s="273" t="str">
        <f>IF($C60="","",VLOOKUP($C60,CTPit!$E$10:$BG$172,O$49,FALSE))</f>
        <v/>
      </c>
      <c r="P60" s="273" t="str">
        <f>IF($C60="","",VLOOKUP($C60,CTPit!$E$10:$BG$172,P$49,FALSE))</f>
        <v/>
      </c>
      <c r="Q60" s="273" t="str">
        <f>IF($C60="","",VLOOKUP($C60,CTPit!$E$10:$BG$172,Q$49,FALSE))</f>
        <v/>
      </c>
      <c r="R60" s="273" t="str">
        <f>IF($C60="","",VLOOKUP($C60,CTPit!$E$10:$BG$172,R$49,FALSE))</f>
        <v/>
      </c>
      <c r="S60" s="273" t="str">
        <f>IF($C60="","",VLOOKUP($C60,CTPit!$E$10:$BG$172,S$49,FALSE))</f>
        <v/>
      </c>
      <c r="T60" s="273" t="str">
        <f>IF($C60="","",VLOOKUP($C60,CTPit!$E$10:$BG$172,T$49,FALSE))</f>
        <v/>
      </c>
      <c r="U60" s="273" t="str">
        <f>IF($C60="","",VLOOKUP($C60,CTPit!$E$10:$BG$172,U$49,FALSE))</f>
        <v/>
      </c>
      <c r="V60" s="273" t="str">
        <f>IF($C60="","",VLOOKUP($C60,CTPit!$E$10:$BG$172,V$49,FALSE))</f>
        <v/>
      </c>
      <c r="W60" s="273" t="str">
        <f>IF($C60="","",VLOOKUP($C60,CTPit!$E$10:$BG$172,W$49,FALSE))</f>
        <v/>
      </c>
      <c r="X60" s="273" t="str">
        <f>IF($C60="","",VLOOKUP($C60,CTPit!$E$10:$BG$172,X$49,FALSE))</f>
        <v/>
      </c>
      <c r="Y60" s="274" t="str">
        <f>IF($C60="","",VLOOKUP($C60,CTPit!$E$10:$BG$172,Y$49,FALSE))</f>
        <v/>
      </c>
      <c r="Z60" s="54" t="str">
        <f>IF($C60="","",VLOOKUP($C60,CTPit!$E$10:$BG$172,Z$49,FALSE))</f>
        <v/>
      </c>
      <c r="AA60" s="273" t="str">
        <f>IF($C60="","",VLOOKUP($C60,CTPit!$E$10:$BG$172,AA$49,FALSE))</f>
        <v/>
      </c>
      <c r="AB60" s="81" t="str">
        <f>IF($C60="","",VLOOKUP($C60,CTPit!$E$10:$BG$172,AB$49,FALSE))</f>
        <v/>
      </c>
      <c r="AC60" s="68" t="str">
        <f>IF($C60="","",VLOOKUP($C60,CTPit!$E$10:$BG$172,AC$49,FALSE))</f>
        <v/>
      </c>
      <c r="AD60" s="273" t="str">
        <f>IF($C60="","",VLOOKUP($C60,CTPit!$E$10:$BG$172,AD$49,FALSE))</f>
        <v/>
      </c>
      <c r="AE60" s="273" t="str">
        <f>IF($C60="","",VLOOKUP($C60,CTPit!$E$10:$BG$172,AE$49,FALSE))</f>
        <v/>
      </c>
      <c r="AF60" s="274" t="str">
        <f>IF($C60="","",VLOOKUP($C60,CTPit!$E$10:$BG$172,AF$49,FALSE))</f>
        <v/>
      </c>
      <c r="AG60" s="68" t="str">
        <f>IF($C60="","",VLOOKUP($C60,CTPit!$E$10:$BG$172,AG$49,FALSE))</f>
        <v/>
      </c>
    </row>
    <row r="61" spans="1:33">
      <c r="Z61" s="275"/>
      <c r="AA61" s="275"/>
      <c r="AB61" s="275"/>
    </row>
    <row r="62" spans="1:33" ht="57">
      <c r="A62" s="25" t="s">
        <v>193</v>
      </c>
      <c r="B62" s="270" t="s">
        <v>130</v>
      </c>
      <c r="C62" s="44" t="s">
        <v>118</v>
      </c>
      <c r="D62" s="44" t="s">
        <v>91</v>
      </c>
      <c r="E62" s="44" t="s">
        <v>102</v>
      </c>
      <c r="F62" s="55" t="s">
        <v>190</v>
      </c>
      <c r="G62" s="47" t="s">
        <v>191</v>
      </c>
      <c r="H62" s="56" t="s">
        <v>192</v>
      </c>
      <c r="I62" s="76" t="s">
        <v>212</v>
      </c>
      <c r="J62" s="47" t="s">
        <v>189</v>
      </c>
      <c r="K62" s="79" t="s">
        <v>186</v>
      </c>
      <c r="L62" s="74" t="s">
        <v>187</v>
      </c>
      <c r="M62" s="75" t="s">
        <v>188</v>
      </c>
      <c r="N62" s="74" t="s">
        <v>60</v>
      </c>
      <c r="O62" s="74" t="s">
        <v>62</v>
      </c>
      <c r="P62" s="74" t="s">
        <v>64</v>
      </c>
      <c r="Q62" s="74" t="s">
        <v>66</v>
      </c>
      <c r="R62" s="74" t="s">
        <v>68</v>
      </c>
      <c r="S62" s="74" t="s">
        <v>108</v>
      </c>
      <c r="T62" s="74" t="s">
        <v>71</v>
      </c>
      <c r="U62" s="74" t="s">
        <v>73</v>
      </c>
      <c r="V62" s="74" t="s">
        <v>75</v>
      </c>
      <c r="W62" s="74" t="s">
        <v>77</v>
      </c>
      <c r="X62" s="74" t="s">
        <v>79</v>
      </c>
      <c r="Y62" s="75" t="s">
        <v>81</v>
      </c>
      <c r="Z62" s="79" t="s">
        <v>199</v>
      </c>
      <c r="AA62" s="74" t="s">
        <v>198</v>
      </c>
      <c r="AB62" s="75" t="s">
        <v>200</v>
      </c>
      <c r="AC62" s="288" t="s">
        <v>537</v>
      </c>
      <c r="AD62" s="74" t="s">
        <v>186</v>
      </c>
      <c r="AE62" s="74" t="s">
        <v>187</v>
      </c>
      <c r="AF62" s="75" t="s">
        <v>188</v>
      </c>
      <c r="AG62" s="288" t="s">
        <v>197</v>
      </c>
    </row>
    <row r="63" spans="1:33">
      <c r="A63">
        <v>1</v>
      </c>
      <c r="B63" s="36" t="s">
        <v>131</v>
      </c>
      <c r="C63" s="37"/>
      <c r="D63" s="37" t="str">
        <f>IF($C63="","",VLOOKUP($C63,CTPit!$E$10:$BG$214,D$4,FALSE))</f>
        <v/>
      </c>
      <c r="E63" s="37" t="str">
        <f>IF($C63="","",VLOOKUP($C63,CTPit!$E$10:$BG$214,E$4+1,FALSE))</f>
        <v/>
      </c>
      <c r="F63" s="53" t="str">
        <f t="shared" ref="F63:F72" si="94">IF($C63="","",IF(AG63&gt;7,1,0))</f>
        <v/>
      </c>
      <c r="G63" s="275" t="str">
        <f t="shared" ref="G63:G72" si="95">IF($C63="","",IF(AG63&gt;6.5,1,0))</f>
        <v/>
      </c>
      <c r="H63" s="276" t="str">
        <f t="shared" ref="H63:H72" si="96">IF($C63="","",IF(AG63&gt;6,1,0))</f>
        <v/>
      </c>
      <c r="I63" s="99" t="str">
        <f>IF($C63="","",VLOOKUP($C63,CTPit!$E$10:$BG$172,I$49,FALSE))</f>
        <v/>
      </c>
      <c r="J63" s="275" t="str">
        <f t="shared" ref="J63:J72" si="97">IF($C63="","",COUNT(N63:Y63))</f>
        <v/>
      </c>
      <c r="K63" s="53" t="str">
        <f>IF($C63="","",VLOOKUP($C63,CTPit!$E$10:$BG$172,K$49,FALSE))</f>
        <v/>
      </c>
      <c r="L63" s="275" t="str">
        <f>IF($C63="","",VLOOKUP($C63,CTPit!$E$10:$BG$172,L$49,FALSE))</f>
        <v/>
      </c>
      <c r="M63" s="276" t="str">
        <f>IF($C63="","",VLOOKUP($C63,CTPit!$E$10:$BG$172,M$49,FALSE))</f>
        <v/>
      </c>
      <c r="N63" s="275" t="str">
        <f>IF($C63="","",VLOOKUP($C63,CTPit!$E$10:$BG$172,N$49,FALSE))</f>
        <v/>
      </c>
      <c r="O63" s="275" t="str">
        <f>IF($C63="","",VLOOKUP($C63,CTPit!$E$10:$BG$172,O$49,FALSE))</f>
        <v/>
      </c>
      <c r="P63" s="275" t="str">
        <f>IF($C63="","",VLOOKUP($C63,CTPit!$E$10:$BG$172,P$49,FALSE))</f>
        <v/>
      </c>
      <c r="Q63" s="275" t="str">
        <f>IF($C63="","",VLOOKUP($C63,CTPit!$E$10:$BG$172,Q$49,FALSE))</f>
        <v/>
      </c>
      <c r="R63" s="275" t="str">
        <f>IF($C63="","",VLOOKUP($C63,CTPit!$E$10:$BG$172,R$49,FALSE))</f>
        <v/>
      </c>
      <c r="S63" s="275" t="str">
        <f>IF($C63="","",VLOOKUP($C63,CTPit!$E$10:$BG$172,S$49,FALSE))</f>
        <v/>
      </c>
      <c r="T63" s="275" t="str">
        <f>IF($C63="","",VLOOKUP($C63,CTPit!$E$10:$BG$172,T$49,FALSE))</f>
        <v/>
      </c>
      <c r="U63" s="275" t="str">
        <f>IF($C63="","",VLOOKUP($C63,CTPit!$E$10:$BG$172,U$49,FALSE))</f>
        <v/>
      </c>
      <c r="V63" s="275" t="str">
        <f>IF($C63="","",VLOOKUP($C63,CTPit!$E$10:$BG$172,V$49,FALSE))</f>
        <v/>
      </c>
      <c r="W63" s="275" t="str">
        <f>IF($C63="","",VLOOKUP($C63,CTPit!$E$10:$BG$172,W$49,FALSE))</f>
        <v/>
      </c>
      <c r="X63" s="275" t="str">
        <f>IF($C63="","",VLOOKUP($C63,CTPit!$E$10:$BG$172,X$49,FALSE))</f>
        <v/>
      </c>
      <c r="Y63" s="276" t="str">
        <f>IF($C63="","",VLOOKUP($C63,CTPit!$E$10:$BG$172,Y$49,FALSE))</f>
        <v/>
      </c>
      <c r="Z63" s="53" t="str">
        <f>IF($C63="","",VLOOKUP($C63,CTPit!$E$10:$BG$172,Z$49,FALSE))</f>
        <v/>
      </c>
      <c r="AA63" s="275" t="str">
        <f>IF($C63="","",VLOOKUP($C63,CTPit!$E$10:$BG$172,AA$49,FALSE))</f>
        <v/>
      </c>
      <c r="AB63" s="80" t="str">
        <f>IF($C63="","",VLOOKUP($C63,CTPit!$E$10:$BG$172,AB$49,FALSE))</f>
        <v/>
      </c>
      <c r="AC63" s="289" t="str">
        <f>IF($C63="","",VLOOKUP($C63,CTPit!$E$10:$BG$172,AC$49,FALSE))</f>
        <v/>
      </c>
      <c r="AD63" s="275" t="str">
        <f>IF($C63="","",VLOOKUP($C63,CTPit!$E$10:$BG$172,AD$49,FALSE))</f>
        <v/>
      </c>
      <c r="AE63" s="275" t="str">
        <f>IF($C63="","",VLOOKUP($C63,CTPit!$E$10:$BG$172,AE$49,FALSE))</f>
        <v/>
      </c>
      <c r="AF63" s="276" t="str">
        <f>IF($C63="","",VLOOKUP($C63,CTPit!$E$10:$BG$172,AF$49,FALSE))</f>
        <v/>
      </c>
      <c r="AG63" s="289" t="str">
        <f>IF($C63="","",VLOOKUP($C63,CTPit!$E$10:$BG$172,AG$49,FALSE))</f>
        <v/>
      </c>
    </row>
    <row r="64" spans="1:33">
      <c r="A64">
        <v>2</v>
      </c>
      <c r="B64" s="36" t="s">
        <v>132</v>
      </c>
      <c r="C64" s="65"/>
      <c r="D64" s="37" t="str">
        <f>IF($C64="","",VLOOKUP($C64,CTPit!$E$10:$BG$214,D$4,FALSE))</f>
        <v/>
      </c>
      <c r="E64" s="37" t="str">
        <f>IF($C64="","",VLOOKUP($C64,CTPit!$E$10:$BG$214,E$4+1,FALSE))</f>
        <v/>
      </c>
      <c r="F64" s="53" t="str">
        <f t="shared" si="94"/>
        <v/>
      </c>
      <c r="G64" s="275" t="str">
        <f t="shared" si="95"/>
        <v/>
      </c>
      <c r="H64" s="276" t="str">
        <f t="shared" si="96"/>
        <v/>
      </c>
      <c r="I64" s="99" t="str">
        <f>IF($C64="","",VLOOKUP($C64,CTPit!$E$10:$BG$172,I$49,FALSE))</f>
        <v/>
      </c>
      <c r="J64" s="275" t="str">
        <f t="shared" si="97"/>
        <v/>
      </c>
      <c r="K64" s="53" t="str">
        <f>IF($C64="","",VLOOKUP($C64,CTPit!$E$10:$BG$172,K$49,FALSE))</f>
        <v/>
      </c>
      <c r="L64" s="275" t="str">
        <f>IF($C64="","",VLOOKUP($C64,CTPit!$E$10:$BG$172,L$49,FALSE))</f>
        <v/>
      </c>
      <c r="M64" s="276" t="str">
        <f>IF($C64="","",VLOOKUP($C64,CTPit!$E$10:$BG$172,M$49,FALSE))</f>
        <v/>
      </c>
      <c r="N64" s="275" t="str">
        <f>IF($C64="","",VLOOKUP($C64,CTPit!$E$10:$BG$172,N$49,FALSE))</f>
        <v/>
      </c>
      <c r="O64" s="275" t="str">
        <f>IF($C64="","",VLOOKUP($C64,CTPit!$E$10:$BG$172,O$49,FALSE))</f>
        <v/>
      </c>
      <c r="P64" s="275" t="str">
        <f>IF($C64="","",VLOOKUP($C64,CTPit!$E$10:$BG$172,P$49,FALSE))</f>
        <v/>
      </c>
      <c r="Q64" s="275" t="str">
        <f>IF($C64="","",VLOOKUP($C64,CTPit!$E$10:$BG$172,Q$49,FALSE))</f>
        <v/>
      </c>
      <c r="R64" s="275" t="str">
        <f>IF($C64="","",VLOOKUP($C64,CTPit!$E$10:$BG$172,R$49,FALSE))</f>
        <v/>
      </c>
      <c r="S64" s="275" t="str">
        <f>IF($C64="","",VLOOKUP($C64,CTPit!$E$10:$BG$172,S$49,FALSE))</f>
        <v/>
      </c>
      <c r="T64" s="275" t="str">
        <f>IF($C64="","",VLOOKUP($C64,CTPit!$E$10:$BG$172,T$49,FALSE))</f>
        <v/>
      </c>
      <c r="U64" s="275" t="str">
        <f>IF($C64="","",VLOOKUP($C64,CTPit!$E$10:$BG$172,U$49,FALSE))</f>
        <v/>
      </c>
      <c r="V64" s="275" t="str">
        <f>IF($C64="","",VLOOKUP($C64,CTPit!$E$10:$BG$172,V$49,FALSE))</f>
        <v/>
      </c>
      <c r="W64" s="275" t="str">
        <f>IF($C64="","",VLOOKUP($C64,CTPit!$E$10:$BG$172,W$49,FALSE))</f>
        <v/>
      </c>
      <c r="X64" s="275" t="str">
        <f>IF($C64="","",VLOOKUP($C64,CTPit!$E$10:$BG$172,X$49,FALSE))</f>
        <v/>
      </c>
      <c r="Y64" s="276" t="str">
        <f>IF($C64="","",VLOOKUP($C64,CTPit!$E$10:$BG$172,Y$49,FALSE))</f>
        <v/>
      </c>
      <c r="Z64" s="53" t="str">
        <f>IF($C64="","",VLOOKUP($C64,CTPit!$E$10:$BG$172,Z$49,FALSE))</f>
        <v/>
      </c>
      <c r="AA64" s="275" t="str">
        <f>IF($C64="","",VLOOKUP($C64,CTPit!$E$10:$BG$172,AA$49,FALSE))</f>
        <v/>
      </c>
      <c r="AB64" s="80" t="str">
        <f>IF($C64="","",VLOOKUP($C64,CTPit!$E$10:$BG$172,AB$49,FALSE))</f>
        <v/>
      </c>
      <c r="AC64" s="67" t="str">
        <f>IF($C64="","",VLOOKUP($C64,CTPit!$E$10:$BG$172,AC$49,FALSE))</f>
        <v/>
      </c>
      <c r="AD64" s="275" t="str">
        <f>IF($C64="","",VLOOKUP($C64,CTPit!$E$10:$BG$172,AD$49,FALSE))</f>
        <v/>
      </c>
      <c r="AE64" s="275" t="str">
        <f>IF($C64="","",VLOOKUP($C64,CTPit!$E$10:$BG$172,AE$49,FALSE))</f>
        <v/>
      </c>
      <c r="AF64" s="276" t="str">
        <f>IF($C64="","",VLOOKUP($C64,CTPit!$E$10:$BG$172,AF$49,FALSE))</f>
        <v/>
      </c>
      <c r="AG64" s="67" t="str">
        <f>IF($C64="","",VLOOKUP($C64,CTPit!$E$10:$BG$172,AG$49,FALSE))</f>
        <v/>
      </c>
    </row>
    <row r="65" spans="1:33">
      <c r="A65">
        <v>3</v>
      </c>
      <c r="B65" s="36" t="s">
        <v>19</v>
      </c>
      <c r="C65" s="65" t="s">
        <v>436</v>
      </c>
      <c r="D65" s="37">
        <f>IF($C65="","",VLOOKUP($C65,CTPit!$E$10:$BG$214,D$4,FALSE))</f>
        <v>23</v>
      </c>
      <c r="E65" s="37" t="str">
        <f>IF($C65="","",VLOOKUP($C65,CTPit!$E$10:$BG$214,E$4+1,FALSE))</f>
        <v>R</v>
      </c>
      <c r="F65" s="53">
        <f t="shared" si="94"/>
        <v>0</v>
      </c>
      <c r="G65" s="275">
        <f t="shared" si="95"/>
        <v>0</v>
      </c>
      <c r="H65" s="276">
        <f t="shared" si="96"/>
        <v>0</v>
      </c>
      <c r="I65" s="99" t="str">
        <f>IF($C65="","",VLOOKUP($C65,CTPit!$E$10:$BG$172,I$49,FALSE))</f>
        <v>R</v>
      </c>
      <c r="J65" s="275">
        <f t="shared" si="97"/>
        <v>2</v>
      </c>
      <c r="K65" s="53">
        <f>IF($C65="","",VLOOKUP($C65,CTPit!$E$10:$BG$172,K$49,FALSE))</f>
        <v>5</v>
      </c>
      <c r="L65" s="275">
        <f>IF($C65="","",VLOOKUP($C65,CTPit!$E$10:$BG$172,L$49,FALSE))</f>
        <v>7</v>
      </c>
      <c r="M65" s="276">
        <f>IF($C65="","",VLOOKUP($C65,CTPit!$E$10:$BG$172,M$49,FALSE))</f>
        <v>3</v>
      </c>
      <c r="N65" s="275">
        <f>IF($C65="","",VLOOKUP($C65,CTPit!$E$10:$BG$172,N$49,FALSE))</f>
        <v>7</v>
      </c>
      <c r="O65" s="275">
        <f>IF($C65="","",VLOOKUP($C65,CTPit!$E$10:$BG$172,O$49,FALSE))</f>
        <v>3</v>
      </c>
      <c r="P65" s="275" t="str">
        <f>IF($C65="","",VLOOKUP($C65,CTPit!$E$10:$BG$172,P$49,FALSE))</f>
        <v>-</v>
      </c>
      <c r="Q65" s="275" t="str">
        <f>IF($C65="","",VLOOKUP($C65,CTPit!$E$10:$BG$172,Q$49,FALSE))</f>
        <v>-</v>
      </c>
      <c r="R65" s="275" t="str">
        <f>IF($C65="","",VLOOKUP($C65,CTPit!$E$10:$BG$172,R$49,FALSE))</f>
        <v>-</v>
      </c>
      <c r="S65" s="275" t="str">
        <f>IF($C65="","",VLOOKUP($C65,CTPit!$E$10:$BG$172,S$49,FALSE))</f>
        <v>-</v>
      </c>
      <c r="T65" s="275" t="str">
        <f>IF($C65="","",VLOOKUP($C65,CTPit!$E$10:$BG$172,T$49,FALSE))</f>
        <v>-</v>
      </c>
      <c r="U65" s="275" t="str">
        <f>IF($C65="","",VLOOKUP($C65,CTPit!$E$10:$BG$172,U$49,FALSE))</f>
        <v>-</v>
      </c>
      <c r="V65" s="275" t="str">
        <f>IF($C65="","",VLOOKUP($C65,CTPit!$E$10:$BG$172,V$49,FALSE))</f>
        <v>-</v>
      </c>
      <c r="W65" s="275" t="str">
        <f>IF($C65="","",VLOOKUP($C65,CTPit!$E$10:$BG$172,W$49,FALSE))</f>
        <v>-</v>
      </c>
      <c r="X65" s="275" t="str">
        <f>IF($C65="","",VLOOKUP($C65,CTPit!$E$10:$BG$172,X$49,FALSE))</f>
        <v>-</v>
      </c>
      <c r="Y65" s="276" t="str">
        <f>IF($C65="","",VLOOKUP($C65,CTPit!$E$10:$BG$172,Y$49,FALSE))</f>
        <v>-</v>
      </c>
      <c r="Z65" s="53" t="str">
        <f>IF($C65="","",VLOOKUP($C65,CTPit!$E$10:$BG$172,Z$49,FALSE))</f>
        <v>96-98 Mph</v>
      </c>
      <c r="AA65" s="275">
        <f>IF($C65="","",VLOOKUP($C65,CTPit!$E$10:$BG$172,AA$49,FALSE))</f>
        <v>1</v>
      </c>
      <c r="AB65" s="80">
        <f>IF($C65="","",VLOOKUP($C65,CTPit!$E$10:$BG$172,AB$49,FALSE))</f>
        <v>0.64</v>
      </c>
      <c r="AC65" s="67">
        <f>IF($C65="","",VLOOKUP($C65,CTPit!$E$10:$BG$172,AC$49,FALSE))</f>
        <v>5.5</v>
      </c>
      <c r="AD65" s="275">
        <f>IF($C65="","",VLOOKUP($C65,CTPit!$E$10:$BG$172,AD$49,FALSE))</f>
        <v>5</v>
      </c>
      <c r="AE65" s="275">
        <f>IF($C65="","",VLOOKUP($C65,CTPit!$E$10:$BG$172,AE$49,FALSE))</f>
        <v>7</v>
      </c>
      <c r="AF65" s="276">
        <f>IF($C65="","",VLOOKUP($C65,CTPit!$E$10:$BG$172,AF$49,FALSE))</f>
        <v>4</v>
      </c>
      <c r="AG65" s="67">
        <f>IF($C65="","",VLOOKUP($C65,CTPit!$E$10:$BG$172,AG$49,FALSE))</f>
        <v>5.833333333333333</v>
      </c>
    </row>
    <row r="66" spans="1:33">
      <c r="A66">
        <v>4</v>
      </c>
      <c r="B66" s="36" t="s">
        <v>19</v>
      </c>
      <c r="C66" s="65" t="s">
        <v>473</v>
      </c>
      <c r="D66" s="37">
        <f>IF($C66="","",VLOOKUP($C66,CTPit!$E$10:$BG$214,D$4,FALSE))</f>
        <v>22</v>
      </c>
      <c r="E66" s="37" t="str">
        <f>IF($C66="","",VLOOKUP($C66,CTPit!$E$10:$BG$214,E$4+1,FALSE))</f>
        <v>R</v>
      </c>
      <c r="F66" s="53">
        <f t="shared" si="94"/>
        <v>0</v>
      </c>
      <c r="G66" s="275">
        <f t="shared" si="95"/>
        <v>0</v>
      </c>
      <c r="H66" s="276">
        <f t="shared" si="96"/>
        <v>1</v>
      </c>
      <c r="I66" s="99" t="str">
        <f>IF($C66="","",VLOOKUP($C66,CTPit!$E$10:$BG$172,I$49,FALSE))</f>
        <v>R</v>
      </c>
      <c r="J66" s="275">
        <f t="shared" si="97"/>
        <v>2</v>
      </c>
      <c r="K66" s="53">
        <f>IF($C66="","",VLOOKUP($C66,CTPit!$E$10:$BG$172,K$49,FALSE))</f>
        <v>10</v>
      </c>
      <c r="L66" s="275">
        <f>IF($C66="","",VLOOKUP($C66,CTPit!$E$10:$BG$172,L$49,FALSE))</f>
        <v>4</v>
      </c>
      <c r="M66" s="276">
        <f>IF($C66="","",VLOOKUP($C66,CTPit!$E$10:$BG$172,M$49,FALSE))</f>
        <v>3</v>
      </c>
      <c r="N66" s="275">
        <f>IF($C66="","",VLOOKUP($C66,CTPit!$E$10:$BG$172,N$49,FALSE))</f>
        <v>10</v>
      </c>
      <c r="O66" s="275" t="str">
        <f>IF($C66="","",VLOOKUP($C66,CTPit!$E$10:$BG$172,O$49,FALSE))</f>
        <v>-</v>
      </c>
      <c r="P66" s="275">
        <f>IF($C66="","",VLOOKUP($C66,CTPit!$E$10:$BG$172,P$49,FALSE))</f>
        <v>6</v>
      </c>
      <c r="Q66" s="275" t="str">
        <f>IF($C66="","",VLOOKUP($C66,CTPit!$E$10:$BG$172,Q$49,FALSE))</f>
        <v>-</v>
      </c>
      <c r="R66" s="275" t="str">
        <f>IF($C66="","",VLOOKUP($C66,CTPit!$E$10:$BG$172,R$49,FALSE))</f>
        <v>-</v>
      </c>
      <c r="S66" s="275" t="str">
        <f>IF($C66="","",VLOOKUP($C66,CTPit!$E$10:$BG$172,S$49,FALSE))</f>
        <v>-</v>
      </c>
      <c r="T66" s="275" t="str">
        <f>IF($C66="","",VLOOKUP($C66,CTPit!$E$10:$BG$172,T$49,FALSE))</f>
        <v>-</v>
      </c>
      <c r="U66" s="275" t="str">
        <f>IF($C66="","",VLOOKUP($C66,CTPit!$E$10:$BG$172,U$49,FALSE))</f>
        <v>-</v>
      </c>
      <c r="V66" s="275" t="str">
        <f>IF($C66="","",VLOOKUP($C66,CTPit!$E$10:$BG$172,V$49,FALSE))</f>
        <v>-</v>
      </c>
      <c r="W66" s="275" t="str">
        <f>IF($C66="","",VLOOKUP($C66,CTPit!$E$10:$BG$172,W$49,FALSE))</f>
        <v>-</v>
      </c>
      <c r="X66" s="275" t="str">
        <f>IF($C66="","",VLOOKUP($C66,CTPit!$E$10:$BG$172,X$49,FALSE))</f>
        <v>-</v>
      </c>
      <c r="Y66" s="276" t="str">
        <f>IF($C66="","",VLOOKUP($C66,CTPit!$E$10:$BG$172,Y$49,FALSE))</f>
        <v>-</v>
      </c>
      <c r="Z66" s="53" t="str">
        <f>IF($C66="","",VLOOKUP($C66,CTPit!$E$10:$BG$172,Z$49,FALSE))</f>
        <v>99-101 Mph</v>
      </c>
      <c r="AA66" s="275">
        <f>IF($C66="","",VLOOKUP($C66,CTPit!$E$10:$BG$172,AA$49,FALSE))</f>
        <v>1</v>
      </c>
      <c r="AB66" s="80">
        <f>IF($C66="","",VLOOKUP($C66,CTPit!$E$10:$BG$172,AB$49,FALSE))</f>
        <v>0.44</v>
      </c>
      <c r="AC66" s="67">
        <f>IF($C66="","",VLOOKUP($C66,CTPit!$E$10:$BG$172,AC$49,FALSE))</f>
        <v>5.916666666666667</v>
      </c>
      <c r="AD66" s="275">
        <f>IF($C66="","",VLOOKUP($C66,CTPit!$E$10:$BG$172,AD$49,FALSE))</f>
        <v>10</v>
      </c>
      <c r="AE66" s="275">
        <f>IF($C66="","",VLOOKUP($C66,CTPit!$E$10:$BG$172,AE$49,FALSE))</f>
        <v>4</v>
      </c>
      <c r="AF66" s="276">
        <f>IF($C66="","",VLOOKUP($C66,CTPit!$E$10:$BG$172,AF$49,FALSE))</f>
        <v>4</v>
      </c>
      <c r="AG66" s="67">
        <f>IF($C66="","",VLOOKUP($C66,CTPit!$E$10:$BG$172,AG$49,FALSE))</f>
        <v>6.25</v>
      </c>
    </row>
    <row r="67" spans="1:33">
      <c r="A67">
        <v>5</v>
      </c>
      <c r="B67" s="36" t="s">
        <v>19</v>
      </c>
      <c r="C67" s="65"/>
      <c r="D67" s="37" t="str">
        <f>IF($C67="","",VLOOKUP($C67,CTPit!$E$10:$BG$214,D$4,FALSE))</f>
        <v/>
      </c>
      <c r="E67" s="37" t="str">
        <f>IF($C67="","",VLOOKUP($C67,CTPit!$E$10:$BG$214,E$4+1,FALSE))</f>
        <v/>
      </c>
      <c r="F67" s="53" t="str">
        <f t="shared" si="94"/>
        <v/>
      </c>
      <c r="G67" s="275" t="str">
        <f t="shared" si="95"/>
        <v/>
      </c>
      <c r="H67" s="276" t="str">
        <f t="shared" si="96"/>
        <v/>
      </c>
      <c r="I67" s="99" t="str">
        <f>IF($C67="","",VLOOKUP($C67,CTPit!$E$10:$BG$172,I$49,FALSE))</f>
        <v/>
      </c>
      <c r="J67" s="275" t="str">
        <f t="shared" si="97"/>
        <v/>
      </c>
      <c r="K67" s="53" t="str">
        <f>IF($C67="","",VLOOKUP($C67,CTPit!$E$10:$BG$172,K$49,FALSE))</f>
        <v/>
      </c>
      <c r="L67" s="275" t="str">
        <f>IF($C67="","",VLOOKUP($C67,CTPit!$E$10:$BG$172,L$49,FALSE))</f>
        <v/>
      </c>
      <c r="M67" s="276" t="str">
        <f>IF($C67="","",VLOOKUP($C67,CTPit!$E$10:$BG$172,M$49,FALSE))</f>
        <v/>
      </c>
      <c r="N67" s="275" t="str">
        <f>IF($C67="","",VLOOKUP($C67,CTPit!$E$10:$BG$172,N$49,FALSE))</f>
        <v/>
      </c>
      <c r="O67" s="275" t="str">
        <f>IF($C67="","",VLOOKUP($C67,CTPit!$E$10:$BG$172,O$49,FALSE))</f>
        <v/>
      </c>
      <c r="P67" s="275" t="str">
        <f>IF($C67="","",VLOOKUP($C67,CTPit!$E$10:$BG$172,P$49,FALSE))</f>
        <v/>
      </c>
      <c r="Q67" s="275" t="str">
        <f>IF($C67="","",VLOOKUP($C67,CTPit!$E$10:$BG$172,Q$49,FALSE))</f>
        <v/>
      </c>
      <c r="R67" s="275" t="str">
        <f>IF($C67="","",VLOOKUP($C67,CTPit!$E$10:$BG$172,R$49,FALSE))</f>
        <v/>
      </c>
      <c r="S67" s="275" t="str">
        <f>IF($C67="","",VLOOKUP($C67,CTPit!$E$10:$BG$172,S$49,FALSE))</f>
        <v/>
      </c>
      <c r="T67" s="275" t="str">
        <f>IF($C67="","",VLOOKUP($C67,CTPit!$E$10:$BG$172,T$49,FALSE))</f>
        <v/>
      </c>
      <c r="U67" s="275" t="str">
        <f>IF($C67="","",VLOOKUP($C67,CTPit!$E$10:$BG$172,U$49,FALSE))</f>
        <v/>
      </c>
      <c r="V67" s="275" t="str">
        <f>IF($C67="","",VLOOKUP($C67,CTPit!$E$10:$BG$172,V$49,FALSE))</f>
        <v/>
      </c>
      <c r="W67" s="275" t="str">
        <f>IF($C67="","",VLOOKUP($C67,CTPit!$E$10:$BG$172,W$49,FALSE))</f>
        <v/>
      </c>
      <c r="X67" s="275" t="str">
        <f>IF($C67="","",VLOOKUP($C67,CTPit!$E$10:$BG$172,X$49,FALSE))</f>
        <v/>
      </c>
      <c r="Y67" s="276" t="str">
        <f>IF($C67="","",VLOOKUP($C67,CTPit!$E$10:$BG$172,Y$49,FALSE))</f>
        <v/>
      </c>
      <c r="Z67" s="53" t="str">
        <f>IF($C67="","",VLOOKUP($C67,CTPit!$E$10:$BG$172,Z$49,FALSE))</f>
        <v/>
      </c>
      <c r="AA67" s="275" t="str">
        <f>IF($C67="","",VLOOKUP($C67,CTPit!$E$10:$BG$172,AA$49,FALSE))</f>
        <v/>
      </c>
      <c r="AB67" s="80" t="str">
        <f>IF($C67="","",VLOOKUP($C67,CTPit!$E$10:$BG$172,AB$49,FALSE))</f>
        <v/>
      </c>
      <c r="AC67" s="67" t="str">
        <f>IF($C67="","",VLOOKUP($C67,CTPit!$E$10:$BG$172,AC$49,FALSE))</f>
        <v/>
      </c>
      <c r="AD67" s="275" t="str">
        <f>IF($C67="","",VLOOKUP($C67,CTPit!$E$10:$BG$172,AD$49,FALSE))</f>
        <v/>
      </c>
      <c r="AE67" s="275" t="str">
        <f>IF($C67="","",VLOOKUP($C67,CTPit!$E$10:$BG$172,AE$49,FALSE))</f>
        <v/>
      </c>
      <c r="AF67" s="276" t="str">
        <f>IF($C67="","",VLOOKUP($C67,CTPit!$E$10:$BG$172,AF$49,FALSE))</f>
        <v/>
      </c>
      <c r="AG67" s="67" t="str">
        <f>IF($C67="","",VLOOKUP($C67,CTPit!$E$10:$BG$172,AG$49,FALSE))</f>
        <v/>
      </c>
    </row>
    <row r="68" spans="1:33">
      <c r="A68">
        <v>6</v>
      </c>
      <c r="B68" s="36" t="s">
        <v>19</v>
      </c>
      <c r="C68" s="65"/>
      <c r="D68" s="37" t="str">
        <f>IF($C68="","",VLOOKUP($C68,CTPit!$E$10:$BG$214,D$4,FALSE))</f>
        <v/>
      </c>
      <c r="E68" s="37" t="str">
        <f>IF($C68="","",VLOOKUP($C68,CTPit!$E$10:$BG$214,E$4+1,FALSE))</f>
        <v/>
      </c>
      <c r="F68" s="53" t="str">
        <f t="shared" si="94"/>
        <v/>
      </c>
      <c r="G68" s="275" t="str">
        <f t="shared" si="95"/>
        <v/>
      </c>
      <c r="H68" s="276" t="str">
        <f t="shared" si="96"/>
        <v/>
      </c>
      <c r="I68" s="99" t="str">
        <f>IF($C68="","",VLOOKUP($C68,CTPit!$E$10:$BG$172,I$49,FALSE))</f>
        <v/>
      </c>
      <c r="J68" s="275" t="str">
        <f t="shared" si="97"/>
        <v/>
      </c>
      <c r="K68" s="53" t="str">
        <f>IF($C68="","",VLOOKUP($C68,CTPit!$E$10:$BG$172,K$49,FALSE))</f>
        <v/>
      </c>
      <c r="L68" s="275" t="str">
        <f>IF($C68="","",VLOOKUP($C68,CTPit!$E$10:$BG$172,L$49,FALSE))</f>
        <v/>
      </c>
      <c r="M68" s="276" t="str">
        <f>IF($C68="","",VLOOKUP($C68,CTPit!$E$10:$BG$172,M$49,FALSE))</f>
        <v/>
      </c>
      <c r="N68" s="275" t="str">
        <f>IF($C68="","",VLOOKUP($C68,CTPit!$E$10:$BG$172,N$49,FALSE))</f>
        <v/>
      </c>
      <c r="O68" s="275" t="str">
        <f>IF($C68="","",VLOOKUP($C68,CTPit!$E$10:$BG$172,O$49,FALSE))</f>
        <v/>
      </c>
      <c r="P68" s="275" t="str">
        <f>IF($C68="","",VLOOKUP($C68,CTPit!$E$10:$BG$172,P$49,FALSE))</f>
        <v/>
      </c>
      <c r="Q68" s="275" t="str">
        <f>IF($C68="","",VLOOKUP($C68,CTPit!$E$10:$BG$172,Q$49,FALSE))</f>
        <v/>
      </c>
      <c r="R68" s="275" t="str">
        <f>IF($C68="","",VLOOKUP($C68,CTPit!$E$10:$BG$172,R$49,FALSE))</f>
        <v/>
      </c>
      <c r="S68" s="275" t="str">
        <f>IF($C68="","",VLOOKUP($C68,CTPit!$E$10:$BG$172,S$49,FALSE))</f>
        <v/>
      </c>
      <c r="T68" s="275" t="str">
        <f>IF($C68="","",VLOOKUP($C68,CTPit!$E$10:$BG$172,T$49,FALSE))</f>
        <v/>
      </c>
      <c r="U68" s="275" t="str">
        <f>IF($C68="","",VLOOKUP($C68,CTPit!$E$10:$BG$172,U$49,FALSE))</f>
        <v/>
      </c>
      <c r="V68" s="275" t="str">
        <f>IF($C68="","",VLOOKUP($C68,CTPit!$E$10:$BG$172,V$49,FALSE))</f>
        <v/>
      </c>
      <c r="W68" s="275" t="str">
        <f>IF($C68="","",VLOOKUP($C68,CTPit!$E$10:$BG$172,W$49,FALSE))</f>
        <v/>
      </c>
      <c r="X68" s="275" t="str">
        <f>IF($C68="","",VLOOKUP($C68,CTPit!$E$10:$BG$172,X$49,FALSE))</f>
        <v/>
      </c>
      <c r="Y68" s="276" t="str">
        <f>IF($C68="","",VLOOKUP($C68,CTPit!$E$10:$BG$172,Y$49,FALSE))</f>
        <v/>
      </c>
      <c r="Z68" s="53" t="str">
        <f>IF($C68="","",VLOOKUP($C68,CTPit!$E$10:$BG$172,Z$49,FALSE))</f>
        <v/>
      </c>
      <c r="AA68" s="275" t="str">
        <f>IF($C68="","",VLOOKUP($C68,CTPit!$E$10:$BG$172,AA$49,FALSE))</f>
        <v/>
      </c>
      <c r="AB68" s="80" t="str">
        <f>IF($C68="","",VLOOKUP($C68,CTPit!$E$10:$BG$172,AB$49,FALSE))</f>
        <v/>
      </c>
      <c r="AC68" s="67" t="str">
        <f>IF($C68="","",VLOOKUP($C68,CTPit!$E$10:$BG$172,AC$49,FALSE))</f>
        <v/>
      </c>
      <c r="AD68" s="275" t="str">
        <f>IF($C68="","",VLOOKUP($C68,CTPit!$E$10:$BG$172,AD$49,FALSE))</f>
        <v/>
      </c>
      <c r="AE68" s="275" t="str">
        <f>IF($C68="","",VLOOKUP($C68,CTPit!$E$10:$BG$172,AE$49,FALSE))</f>
        <v/>
      </c>
      <c r="AF68" s="276" t="str">
        <f>IF($C68="","",VLOOKUP($C68,CTPit!$E$10:$BG$172,AF$49,FALSE))</f>
        <v/>
      </c>
      <c r="AG68" s="67" t="str">
        <f>IF($C68="","",VLOOKUP($C68,CTPit!$E$10:$BG$172,AG$49,FALSE))</f>
        <v/>
      </c>
    </row>
    <row r="69" spans="1:33">
      <c r="A69">
        <v>7</v>
      </c>
      <c r="B69" s="36" t="s">
        <v>19</v>
      </c>
      <c r="C69" s="65"/>
      <c r="D69" s="37" t="str">
        <f>IF($C69="","",VLOOKUP($C69,CTPit!$E$10:$BG$214,D$4,FALSE))</f>
        <v/>
      </c>
      <c r="E69" s="37" t="str">
        <f>IF($C69="","",VLOOKUP($C69,CTPit!$E$10:$BG$214,E$4+1,FALSE))</f>
        <v/>
      </c>
      <c r="F69" s="53" t="str">
        <f t="shared" si="94"/>
        <v/>
      </c>
      <c r="G69" s="275" t="str">
        <f t="shared" si="95"/>
        <v/>
      </c>
      <c r="H69" s="276" t="str">
        <f t="shared" si="96"/>
        <v/>
      </c>
      <c r="I69" s="99" t="str">
        <f>IF($C69="","",VLOOKUP($C69,CTPit!$E$10:$BG$172,I$49,FALSE))</f>
        <v/>
      </c>
      <c r="J69" s="275" t="str">
        <f t="shared" si="97"/>
        <v/>
      </c>
      <c r="K69" s="53" t="str">
        <f>IF($C69="","",VLOOKUP($C69,CTPit!$E$10:$BG$172,K$49,FALSE))</f>
        <v/>
      </c>
      <c r="L69" s="275" t="str">
        <f>IF($C69="","",VLOOKUP($C69,CTPit!$E$10:$BG$172,L$49,FALSE))</f>
        <v/>
      </c>
      <c r="M69" s="276" t="str">
        <f>IF($C69="","",VLOOKUP($C69,CTPit!$E$10:$BG$172,M$49,FALSE))</f>
        <v/>
      </c>
      <c r="N69" s="275" t="str">
        <f>IF($C69="","",VLOOKUP($C69,CTPit!$E$10:$BG$172,N$49,FALSE))</f>
        <v/>
      </c>
      <c r="O69" s="275" t="str">
        <f>IF($C69="","",VLOOKUP($C69,CTPit!$E$10:$BG$172,O$49,FALSE))</f>
        <v/>
      </c>
      <c r="P69" s="275" t="str">
        <f>IF($C69="","",VLOOKUP($C69,CTPit!$E$10:$BG$172,P$49,FALSE))</f>
        <v/>
      </c>
      <c r="Q69" s="275" t="str">
        <f>IF($C69="","",VLOOKUP($C69,CTPit!$E$10:$BG$172,Q$49,FALSE))</f>
        <v/>
      </c>
      <c r="R69" s="275" t="str">
        <f>IF($C69="","",VLOOKUP($C69,CTPit!$E$10:$BG$172,R$49,FALSE))</f>
        <v/>
      </c>
      <c r="S69" s="275" t="str">
        <f>IF($C69="","",VLOOKUP($C69,CTPit!$E$10:$BG$172,S$49,FALSE))</f>
        <v/>
      </c>
      <c r="T69" s="275" t="str">
        <f>IF($C69="","",VLOOKUP($C69,CTPit!$E$10:$BG$172,T$49,FALSE))</f>
        <v/>
      </c>
      <c r="U69" s="275" t="str">
        <f>IF($C69="","",VLOOKUP($C69,CTPit!$E$10:$BG$172,U$49,FALSE))</f>
        <v/>
      </c>
      <c r="V69" s="275" t="str">
        <f>IF($C69="","",VLOOKUP($C69,CTPit!$E$10:$BG$172,V$49,FALSE))</f>
        <v/>
      </c>
      <c r="W69" s="275" t="str">
        <f>IF($C69="","",VLOOKUP($C69,CTPit!$E$10:$BG$172,W$49,FALSE))</f>
        <v/>
      </c>
      <c r="X69" s="275" t="str">
        <f>IF($C69="","",VLOOKUP($C69,CTPit!$E$10:$BG$172,X$49,FALSE))</f>
        <v/>
      </c>
      <c r="Y69" s="276" t="str">
        <f>IF($C69="","",VLOOKUP($C69,CTPit!$E$10:$BG$172,Y$49,FALSE))</f>
        <v/>
      </c>
      <c r="Z69" s="53" t="str">
        <f>IF($C69="","",VLOOKUP($C69,CTPit!$E$10:$BG$172,Z$49,FALSE))</f>
        <v/>
      </c>
      <c r="AA69" s="275" t="str">
        <f>IF($C69="","",VLOOKUP($C69,CTPit!$E$10:$BG$172,AA$49,FALSE))</f>
        <v/>
      </c>
      <c r="AB69" s="80" t="str">
        <f>IF($C69="","",VLOOKUP($C69,CTPit!$E$10:$BG$172,AB$49,FALSE))</f>
        <v/>
      </c>
      <c r="AC69" s="67" t="str">
        <f>IF($C69="","",VLOOKUP($C69,CTPit!$E$10:$BG$172,AC$49,FALSE))</f>
        <v/>
      </c>
      <c r="AD69" s="275" t="str">
        <f>IF($C69="","",VLOOKUP($C69,CTPit!$E$10:$BG$172,AD$49,FALSE))</f>
        <v/>
      </c>
      <c r="AE69" s="275" t="str">
        <f>IF($C69="","",VLOOKUP($C69,CTPit!$E$10:$BG$172,AE$49,FALSE))</f>
        <v/>
      </c>
      <c r="AF69" s="276" t="str">
        <f>IF($C69="","",VLOOKUP($C69,CTPit!$E$10:$BG$172,AF$49,FALSE))</f>
        <v/>
      </c>
      <c r="AG69" s="67" t="str">
        <f>IF($C69="","",VLOOKUP($C69,CTPit!$E$10:$BG$172,AG$49,FALSE))</f>
        <v/>
      </c>
    </row>
    <row r="70" spans="1:33">
      <c r="A70">
        <v>8</v>
      </c>
      <c r="B70" s="36" t="s">
        <v>19</v>
      </c>
      <c r="C70" s="65"/>
      <c r="D70" s="37" t="str">
        <f>IF($C70="","",VLOOKUP($C70,CTPit!$E$10:$BG$214,D$4,FALSE))</f>
        <v/>
      </c>
      <c r="E70" s="37" t="str">
        <f>IF($C70="","",VLOOKUP($C70,CTPit!$E$10:$BG$214,E$4+1,FALSE))</f>
        <v/>
      </c>
      <c r="F70" s="53" t="str">
        <f t="shared" si="94"/>
        <v/>
      </c>
      <c r="G70" s="275" t="str">
        <f t="shared" si="95"/>
        <v/>
      </c>
      <c r="H70" s="276" t="str">
        <f t="shared" si="96"/>
        <v/>
      </c>
      <c r="I70" s="99" t="str">
        <f>IF($C70="","",VLOOKUP($C70,CTPit!$E$10:$BG$172,I$49,FALSE))</f>
        <v/>
      </c>
      <c r="J70" s="275" t="str">
        <f t="shared" si="97"/>
        <v/>
      </c>
      <c r="K70" s="53" t="str">
        <f>IF($C70="","",VLOOKUP($C70,CTPit!$E$10:$BG$172,K$49,FALSE))</f>
        <v/>
      </c>
      <c r="L70" s="275" t="str">
        <f>IF($C70="","",VLOOKUP($C70,CTPit!$E$10:$BG$172,L$49,FALSE))</f>
        <v/>
      </c>
      <c r="M70" s="276" t="str">
        <f>IF($C70="","",VLOOKUP($C70,CTPit!$E$10:$BG$172,M$49,FALSE))</f>
        <v/>
      </c>
      <c r="N70" s="275" t="str">
        <f>IF($C70="","",VLOOKUP($C70,CTPit!$E$10:$BG$172,N$49,FALSE))</f>
        <v/>
      </c>
      <c r="O70" s="275" t="str">
        <f>IF($C70="","",VLOOKUP($C70,CTPit!$E$10:$BG$172,O$49,FALSE))</f>
        <v/>
      </c>
      <c r="P70" s="275" t="str">
        <f>IF($C70="","",VLOOKUP($C70,CTPit!$E$10:$BG$172,P$49,FALSE))</f>
        <v/>
      </c>
      <c r="Q70" s="275" t="str">
        <f>IF($C70="","",VLOOKUP($C70,CTPit!$E$10:$BG$172,Q$49,FALSE))</f>
        <v/>
      </c>
      <c r="R70" s="275" t="str">
        <f>IF($C70="","",VLOOKUP($C70,CTPit!$E$10:$BG$172,R$49,FALSE))</f>
        <v/>
      </c>
      <c r="S70" s="275" t="str">
        <f>IF($C70="","",VLOOKUP($C70,CTPit!$E$10:$BG$172,S$49,FALSE))</f>
        <v/>
      </c>
      <c r="T70" s="275" t="str">
        <f>IF($C70="","",VLOOKUP($C70,CTPit!$E$10:$BG$172,T$49,FALSE))</f>
        <v/>
      </c>
      <c r="U70" s="275" t="str">
        <f>IF($C70="","",VLOOKUP($C70,CTPit!$E$10:$BG$172,U$49,FALSE))</f>
        <v/>
      </c>
      <c r="V70" s="275" t="str">
        <f>IF($C70="","",VLOOKUP($C70,CTPit!$E$10:$BG$172,V$49,FALSE))</f>
        <v/>
      </c>
      <c r="W70" s="275" t="str">
        <f>IF($C70="","",VLOOKUP($C70,CTPit!$E$10:$BG$172,W$49,FALSE))</f>
        <v/>
      </c>
      <c r="X70" s="275" t="str">
        <f>IF($C70="","",VLOOKUP($C70,CTPit!$E$10:$BG$172,X$49,FALSE))</f>
        <v/>
      </c>
      <c r="Y70" s="276" t="str">
        <f>IF($C70="","",VLOOKUP($C70,CTPit!$E$10:$BG$172,Y$49,FALSE))</f>
        <v/>
      </c>
      <c r="Z70" s="53" t="str">
        <f>IF($C70="","",VLOOKUP($C70,CTPit!$E$10:$BG$172,Z$49,FALSE))</f>
        <v/>
      </c>
      <c r="AA70" s="275" t="str">
        <f>IF($C70="","",VLOOKUP($C70,CTPit!$E$10:$BG$172,AA$49,FALSE))</f>
        <v/>
      </c>
      <c r="AB70" s="80" t="str">
        <f>IF($C70="","",VLOOKUP($C70,CTPit!$E$10:$BG$172,AB$49,FALSE))</f>
        <v/>
      </c>
      <c r="AC70" s="67" t="str">
        <f>IF($C70="","",VLOOKUP($C70,CTPit!$E$10:$BG$172,AC$49,FALSE))</f>
        <v/>
      </c>
      <c r="AD70" s="275" t="str">
        <f>IF($C70="","",VLOOKUP($C70,CTPit!$E$10:$BG$172,AD$49,FALSE))</f>
        <v/>
      </c>
      <c r="AE70" s="275" t="str">
        <f>IF($C70="","",VLOOKUP($C70,CTPit!$E$10:$BG$172,AE$49,FALSE))</f>
        <v/>
      </c>
      <c r="AF70" s="276" t="str">
        <f>IF($C70="","",VLOOKUP($C70,CTPit!$E$10:$BG$172,AF$49,FALSE))</f>
        <v/>
      </c>
      <c r="AG70" s="67" t="str">
        <f>IF($C70="","",VLOOKUP($C70,CTPit!$E$10:$BG$172,AG$49,FALSE))</f>
        <v/>
      </c>
    </row>
    <row r="71" spans="1:33">
      <c r="A71">
        <v>9</v>
      </c>
      <c r="B71" s="36" t="s">
        <v>19</v>
      </c>
      <c r="C71" s="65"/>
      <c r="D71" s="37" t="str">
        <f>IF($C71="","",VLOOKUP($C71,CTPit!$E$10:$BG$214,D$4,FALSE))</f>
        <v/>
      </c>
      <c r="E71" s="37" t="str">
        <f>IF($C71="","",VLOOKUP($C71,CTPit!$E$10:$BG$214,E$4+1,FALSE))</f>
        <v/>
      </c>
      <c r="F71" s="53" t="str">
        <f t="shared" si="94"/>
        <v/>
      </c>
      <c r="G71" s="275" t="str">
        <f t="shared" si="95"/>
        <v/>
      </c>
      <c r="H71" s="276" t="str">
        <f t="shared" si="96"/>
        <v/>
      </c>
      <c r="I71" s="99" t="str">
        <f>IF($C71="","",VLOOKUP($C71,CTPit!$E$10:$BG$172,I$49,FALSE))</f>
        <v/>
      </c>
      <c r="J71" s="275" t="str">
        <f t="shared" si="97"/>
        <v/>
      </c>
      <c r="K71" s="53" t="str">
        <f>IF($C71="","",VLOOKUP($C71,CTPit!$E$10:$BG$172,K$49,FALSE))</f>
        <v/>
      </c>
      <c r="L71" s="275" t="str">
        <f>IF($C71="","",VLOOKUP($C71,CTPit!$E$10:$BG$172,L$49,FALSE))</f>
        <v/>
      </c>
      <c r="M71" s="276" t="str">
        <f>IF($C71="","",VLOOKUP($C71,CTPit!$E$10:$BG$172,M$49,FALSE))</f>
        <v/>
      </c>
      <c r="N71" s="275" t="str">
        <f>IF($C71="","",VLOOKUP($C71,CTPit!$E$10:$BG$172,N$49,FALSE))</f>
        <v/>
      </c>
      <c r="O71" s="275" t="str">
        <f>IF($C71="","",VLOOKUP($C71,CTPit!$E$10:$BG$172,O$49,FALSE))</f>
        <v/>
      </c>
      <c r="P71" s="275" t="str">
        <f>IF($C71="","",VLOOKUP($C71,CTPit!$E$10:$BG$172,P$49,FALSE))</f>
        <v/>
      </c>
      <c r="Q71" s="275" t="str">
        <f>IF($C71="","",VLOOKUP($C71,CTPit!$E$10:$BG$172,Q$49,FALSE))</f>
        <v/>
      </c>
      <c r="R71" s="275" t="str">
        <f>IF($C71="","",VLOOKUP($C71,CTPit!$E$10:$BG$172,R$49,FALSE))</f>
        <v/>
      </c>
      <c r="S71" s="275" t="str">
        <f>IF($C71="","",VLOOKUP($C71,CTPit!$E$10:$BG$172,S$49,FALSE))</f>
        <v/>
      </c>
      <c r="T71" s="275" t="str">
        <f>IF($C71="","",VLOOKUP($C71,CTPit!$E$10:$BG$172,T$49,FALSE))</f>
        <v/>
      </c>
      <c r="U71" s="275" t="str">
        <f>IF($C71="","",VLOOKUP($C71,CTPit!$E$10:$BG$172,U$49,FALSE))</f>
        <v/>
      </c>
      <c r="V71" s="275" t="str">
        <f>IF($C71="","",VLOOKUP($C71,CTPit!$E$10:$BG$172,V$49,FALSE))</f>
        <v/>
      </c>
      <c r="W71" s="275" t="str">
        <f>IF($C71="","",VLOOKUP($C71,CTPit!$E$10:$BG$172,W$49,FALSE))</f>
        <v/>
      </c>
      <c r="X71" s="275" t="str">
        <f>IF($C71="","",VLOOKUP($C71,CTPit!$E$10:$BG$172,X$49,FALSE))</f>
        <v/>
      </c>
      <c r="Y71" s="276" t="str">
        <f>IF($C71="","",VLOOKUP($C71,CTPit!$E$10:$BG$172,Y$49,FALSE))</f>
        <v/>
      </c>
      <c r="Z71" s="53" t="str">
        <f>IF($C71="","",VLOOKUP($C71,CTPit!$E$10:$BG$172,Z$49,FALSE))</f>
        <v/>
      </c>
      <c r="AA71" s="275" t="str">
        <f>IF($C71="","",VLOOKUP($C71,CTPit!$E$10:$BG$172,AA$49,FALSE))</f>
        <v/>
      </c>
      <c r="AB71" s="80" t="str">
        <f>IF($C71="","",VLOOKUP($C71,CTPit!$E$10:$BG$172,AB$49,FALSE))</f>
        <v/>
      </c>
      <c r="AC71" s="67" t="str">
        <f>IF($C71="","",VLOOKUP($C71,CTPit!$E$10:$BG$172,AC$49,FALSE))</f>
        <v/>
      </c>
      <c r="AD71" s="275" t="str">
        <f>IF($C71="","",VLOOKUP($C71,CTPit!$E$10:$BG$172,AD$49,FALSE))</f>
        <v/>
      </c>
      <c r="AE71" s="275" t="str">
        <f>IF($C71="","",VLOOKUP($C71,CTPit!$E$10:$BG$172,AE$49,FALSE))</f>
        <v/>
      </c>
      <c r="AF71" s="276" t="str">
        <f>IF($C71="","",VLOOKUP($C71,CTPit!$E$10:$BG$172,AF$49,FALSE))</f>
        <v/>
      </c>
      <c r="AG71" s="67" t="str">
        <f>IF($C71="","",VLOOKUP($C71,CTPit!$E$10:$BG$172,AG$49,FALSE))</f>
        <v/>
      </c>
    </row>
    <row r="72" spans="1:33">
      <c r="A72">
        <v>10</v>
      </c>
      <c r="B72" s="39" t="s">
        <v>19</v>
      </c>
      <c r="C72" s="40"/>
      <c r="D72" s="40" t="str">
        <f>IF($C72="","",VLOOKUP($C72,CTPit!$E$10:$BG$214,D$4,FALSE))</f>
        <v/>
      </c>
      <c r="E72" s="40" t="str">
        <f>IF($C72="","",VLOOKUP($C72,CTPit!$E$10:$BG$214,E$4+1,FALSE))</f>
        <v/>
      </c>
      <c r="F72" s="54" t="str">
        <f t="shared" si="94"/>
        <v/>
      </c>
      <c r="G72" s="273" t="str">
        <f t="shared" si="95"/>
        <v/>
      </c>
      <c r="H72" s="274" t="str">
        <f t="shared" si="96"/>
        <v/>
      </c>
      <c r="I72" s="100" t="str">
        <f>IF($C72="","",VLOOKUP($C72,CTPit!$E$10:$BG$172,I$49,FALSE))</f>
        <v/>
      </c>
      <c r="J72" s="273" t="str">
        <f t="shared" si="97"/>
        <v/>
      </c>
      <c r="K72" s="54" t="str">
        <f>IF($C72="","",VLOOKUP($C72,CTPit!$E$10:$BG$172,K$49,FALSE))</f>
        <v/>
      </c>
      <c r="L72" s="273" t="str">
        <f>IF($C72="","",VLOOKUP($C72,CTPit!$E$10:$BG$172,L$49,FALSE))</f>
        <v/>
      </c>
      <c r="M72" s="274" t="str">
        <f>IF($C72="","",VLOOKUP($C72,CTPit!$E$10:$BG$172,M$49,FALSE))</f>
        <v/>
      </c>
      <c r="N72" s="273" t="str">
        <f>IF($C72="","",VLOOKUP($C72,CTPit!$E$10:$BG$172,N$49,FALSE))</f>
        <v/>
      </c>
      <c r="O72" s="273" t="str">
        <f>IF($C72="","",VLOOKUP($C72,CTPit!$E$10:$BG$172,O$49,FALSE))</f>
        <v/>
      </c>
      <c r="P72" s="273" t="str">
        <f>IF($C72="","",VLOOKUP($C72,CTPit!$E$10:$BG$172,P$49,FALSE))</f>
        <v/>
      </c>
      <c r="Q72" s="273" t="str">
        <f>IF($C72="","",VLOOKUP($C72,CTPit!$E$10:$BG$172,Q$49,FALSE))</f>
        <v/>
      </c>
      <c r="R72" s="273" t="str">
        <f>IF($C72="","",VLOOKUP($C72,CTPit!$E$10:$BG$172,R$49,FALSE))</f>
        <v/>
      </c>
      <c r="S72" s="273" t="str">
        <f>IF($C72="","",VLOOKUP($C72,CTPit!$E$10:$BG$172,S$49,FALSE))</f>
        <v/>
      </c>
      <c r="T72" s="273" t="str">
        <f>IF($C72="","",VLOOKUP($C72,CTPit!$E$10:$BG$172,T$49,FALSE))</f>
        <v/>
      </c>
      <c r="U72" s="273" t="str">
        <f>IF($C72="","",VLOOKUP($C72,CTPit!$E$10:$BG$172,U$49,FALSE))</f>
        <v/>
      </c>
      <c r="V72" s="273" t="str">
        <f>IF($C72="","",VLOOKUP($C72,CTPit!$E$10:$BG$172,V$49,FALSE))</f>
        <v/>
      </c>
      <c r="W72" s="273" t="str">
        <f>IF($C72="","",VLOOKUP($C72,CTPit!$E$10:$BG$172,W$49,FALSE))</f>
        <v/>
      </c>
      <c r="X72" s="273" t="str">
        <f>IF($C72="","",VLOOKUP($C72,CTPit!$E$10:$BG$172,X$49,FALSE))</f>
        <v/>
      </c>
      <c r="Y72" s="274" t="str">
        <f>IF($C72="","",VLOOKUP($C72,CTPit!$E$10:$BG$172,Y$49,FALSE))</f>
        <v/>
      </c>
      <c r="Z72" s="54" t="str">
        <f>IF($C72="","",VLOOKUP($C72,CTPit!$E$10:$BG$172,Z$49,FALSE))</f>
        <v/>
      </c>
      <c r="AA72" s="273" t="str">
        <f>IF($C72="","",VLOOKUP($C72,CTPit!$E$10:$BG$172,AA$49,FALSE))</f>
        <v/>
      </c>
      <c r="AB72" s="81" t="str">
        <f>IF($C72="","",VLOOKUP($C72,CTPit!$E$10:$BG$172,AB$49,FALSE))</f>
        <v/>
      </c>
      <c r="AC72" s="68" t="str">
        <f>IF($C72="","",VLOOKUP($C72,CTPit!$E$10:$BG$172,AC$49,FALSE))</f>
        <v/>
      </c>
      <c r="AD72" s="273" t="str">
        <f>IF($C72="","",VLOOKUP($C72,CTPit!$E$10:$BG$172,AD$49,FALSE))</f>
        <v/>
      </c>
      <c r="AE72" s="273" t="str">
        <f>IF($C72="","",VLOOKUP($C72,CTPit!$E$10:$BG$172,AE$49,FALSE))</f>
        <v/>
      </c>
      <c r="AF72" s="274" t="str">
        <f>IF($C72="","",VLOOKUP($C72,CTPit!$E$10:$BG$172,AF$49,FALSE))</f>
        <v/>
      </c>
      <c r="AG72" s="68" t="str">
        <f>IF($C72="","",VLOOKUP($C72,CTPit!$E$10:$BG$172,AG$49,FALSE))</f>
        <v/>
      </c>
    </row>
  </sheetData>
  <mergeCells count="6">
    <mergeCell ref="AH40:AT40"/>
    <mergeCell ref="AG35:AT35"/>
    <mergeCell ref="AH36:AT36"/>
    <mergeCell ref="AH37:AT37"/>
    <mergeCell ref="AH38:AT38"/>
    <mergeCell ref="AH39:AT39"/>
  </mergeCells>
  <conditionalFormatting sqref="G19">
    <cfRule type="expression" dxfId="65" priority="21">
      <formula>IF(SUM(G20:G27)&gt;1,1,0)</formula>
    </cfRule>
  </conditionalFormatting>
  <conditionalFormatting sqref="H19">
    <cfRule type="expression" dxfId="64" priority="20">
      <formula>IF(SUM(H20:H27)&gt;1,1,0)</formula>
    </cfRule>
  </conditionalFormatting>
  <conditionalFormatting sqref="F19">
    <cfRule type="expression" dxfId="63" priority="19">
      <formula>IF(SUM(F20:F27)&gt;1,1,0)</formula>
    </cfRule>
  </conditionalFormatting>
  <conditionalFormatting sqref="I5">
    <cfRule type="expression" dxfId="62" priority="18">
      <formula>-IF(SUM(I6:I17)&gt;1,1,0)</formula>
    </cfRule>
  </conditionalFormatting>
  <conditionalFormatting sqref="H5">
    <cfRule type="expression" dxfId="61" priority="17">
      <formula>-IF(SUM(H6:H17)&gt;1,1,0)</formula>
    </cfRule>
  </conditionalFormatting>
  <conditionalFormatting sqref="F29">
    <cfRule type="expression" dxfId="60" priority="16">
      <formula>IF(SUM($F$30:$F$33)&gt;1,1,0)</formula>
    </cfRule>
  </conditionalFormatting>
  <conditionalFormatting sqref="F50">
    <cfRule type="expression" dxfId="59" priority="15">
      <formula>IF(SUM($F$51:$F$56)&gt;1,1,0)</formula>
    </cfRule>
  </conditionalFormatting>
  <conditionalFormatting sqref="H50">
    <cfRule type="expression" dxfId="58" priority="14">
      <formula>IF(SUM($H$51:$H$56)&gt;3,1,0)</formula>
    </cfRule>
  </conditionalFormatting>
  <conditionalFormatting sqref="G50">
    <cfRule type="expression" dxfId="57" priority="13">
      <formula>IF(SUM($G$51:$G$56)&gt;2,1,0)</formula>
    </cfRule>
  </conditionalFormatting>
  <conditionalFormatting sqref="C30:C33 C20:C27 C6:C17">
    <cfRule type="expression" dxfId="56" priority="11">
      <formula>IF($AZ6&lt;4.5,1,0)</formula>
    </cfRule>
    <cfRule type="expression" dxfId="55" priority="12">
      <formula>IF($AZ6&gt;7,1,0)</formula>
    </cfRule>
  </conditionalFormatting>
  <conditionalFormatting sqref="C21">
    <cfRule type="expression" dxfId="54" priority="9">
      <formula>IF($AK21&lt;4.5,1,0)</formula>
    </cfRule>
    <cfRule type="expression" dxfId="53" priority="10">
      <formula>IF($AK21&gt;7,1,0)</formula>
    </cfRule>
  </conditionalFormatting>
  <conditionalFormatting sqref="F5">
    <cfRule type="expression" dxfId="52" priority="8">
      <formula>IF(SUM(F6:F17)&gt;1,1,0)</formula>
    </cfRule>
  </conditionalFormatting>
  <conditionalFormatting sqref="G5">
    <cfRule type="expression" dxfId="51" priority="7">
      <formula>IF(SUM(G6:G17)&gt;1,1,0)</formula>
    </cfRule>
  </conditionalFormatting>
  <conditionalFormatting sqref="C51:C56 C59:C60 C63:C72">
    <cfRule type="expression" dxfId="50" priority="3">
      <formula>IF($AC51&lt;$D$2,1,0)</formula>
    </cfRule>
    <cfRule type="expression" dxfId="49" priority="4">
      <formula>IF($AC51&gt;$C$3,1,0)</formula>
    </cfRule>
    <cfRule type="expression" dxfId="48" priority="5">
      <formula>IF($AG51&lt;5.75,1,0)</formula>
    </cfRule>
    <cfRule type="expression" dxfId="47" priority="6">
      <formula>IF($AG51&gt;6,1,0)</formula>
    </cfRule>
  </conditionalFormatting>
  <conditionalFormatting sqref="C20:C27 C30:C33 C6:C17">
    <cfRule type="expression" dxfId="46" priority="1">
      <formula>IF($AK6&lt;$D$2,1,0)</formula>
    </cfRule>
    <cfRule type="expression" dxfId="45" priority="2">
      <formula>IF($AK6&gt;$C$2,1,0)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published="0">
    <tabColor theme="3" tint="0.39997558519241921"/>
  </sheetPr>
  <dimension ref="A1:AZ72"/>
  <sheetViews>
    <sheetView topLeftCell="A40" zoomScale="85" zoomScaleNormal="85" workbookViewId="0">
      <selection activeCell="C7" sqref="C7"/>
    </sheetView>
  </sheetViews>
  <sheetFormatPr defaultRowHeight="15"/>
  <cols>
    <col min="1" max="1" width="3.140625" customWidth="1"/>
    <col min="2" max="2" width="10.7109375" style="1" bestFit="1" customWidth="1"/>
    <col min="3" max="3" width="20" style="26" bestFit="1" customWidth="1"/>
    <col min="4" max="4" width="4.5703125" style="26" customWidth="1"/>
    <col min="5" max="5" width="4.42578125" style="26" customWidth="1"/>
    <col min="6" max="6" width="4.42578125" bestFit="1" customWidth="1"/>
    <col min="7" max="7" width="3.7109375" bestFit="1" customWidth="1"/>
    <col min="8" max="8" width="4.7109375" bestFit="1" customWidth="1"/>
    <col min="9" max="9" width="4.28515625" customWidth="1"/>
    <col min="10" max="12" width="3.7109375" customWidth="1"/>
    <col min="13" max="16" width="3.7109375" bestFit="1" customWidth="1"/>
    <col min="17" max="17" width="4.28515625" bestFit="1" customWidth="1"/>
    <col min="18" max="18" width="4.7109375" bestFit="1" customWidth="1"/>
    <col min="19" max="21" width="3.7109375" bestFit="1" customWidth="1"/>
    <col min="22" max="22" width="4.28515625" bestFit="1" customWidth="1"/>
    <col min="23" max="23" width="4.7109375" bestFit="1" customWidth="1"/>
    <col min="24" max="24" width="4.28515625" customWidth="1"/>
    <col min="25" max="25" width="4.28515625" bestFit="1" customWidth="1"/>
    <col min="26" max="26" width="11.42578125" bestFit="1" customWidth="1"/>
    <col min="27" max="27" width="4.28515625" bestFit="1" customWidth="1"/>
    <col min="28" max="29" width="4.7109375" bestFit="1" customWidth="1"/>
    <col min="30" max="32" width="4.28515625" bestFit="1" customWidth="1"/>
    <col min="33" max="33" width="6.28515625" customWidth="1"/>
    <col min="34" max="36" width="3.7109375" bestFit="1" customWidth="1"/>
    <col min="37" max="37" width="4.5703125" bestFit="1" customWidth="1"/>
    <col min="38" max="51" width="3.7109375" bestFit="1" customWidth="1"/>
    <col min="52" max="52" width="4.5703125" bestFit="1" customWidth="1"/>
  </cols>
  <sheetData>
    <row r="1" spans="1:52">
      <c r="C1" s="290" t="s">
        <v>538</v>
      </c>
      <c r="D1" s="290" t="s">
        <v>539</v>
      </c>
    </row>
    <row r="2" spans="1:52">
      <c r="B2" s="290" t="s">
        <v>540</v>
      </c>
      <c r="C2" s="291">
        <v>4.5</v>
      </c>
      <c r="D2" s="291">
        <v>4</v>
      </c>
    </row>
    <row r="3" spans="1:52">
      <c r="B3" s="290" t="s">
        <v>541</v>
      </c>
      <c r="C3" s="291">
        <v>5</v>
      </c>
      <c r="D3" s="291">
        <v>4</v>
      </c>
    </row>
    <row r="4" spans="1:52">
      <c r="D4" s="26">
        <v>4</v>
      </c>
      <c r="E4" s="26">
        <v>5</v>
      </c>
      <c r="J4">
        <v>23</v>
      </c>
      <c r="K4">
        <v>21</v>
      </c>
      <c r="L4">
        <v>22</v>
      </c>
      <c r="M4">
        <v>24</v>
      </c>
      <c r="N4">
        <v>25</v>
      </c>
      <c r="O4">
        <v>26</v>
      </c>
      <c r="P4">
        <v>27</v>
      </c>
      <c r="Q4">
        <v>28</v>
      </c>
      <c r="R4">
        <v>29</v>
      </c>
      <c r="S4">
        <v>30</v>
      </c>
      <c r="T4">
        <v>31</v>
      </c>
      <c r="AD4">
        <v>11</v>
      </c>
      <c r="AE4">
        <v>12</v>
      </c>
      <c r="AF4">
        <v>13</v>
      </c>
      <c r="AG4">
        <v>14</v>
      </c>
      <c r="AH4">
        <v>15</v>
      </c>
      <c r="AI4">
        <v>32</v>
      </c>
      <c r="AJ4">
        <v>33</v>
      </c>
      <c r="AU4">
        <v>16</v>
      </c>
      <c r="AV4">
        <v>17</v>
      </c>
      <c r="AW4">
        <v>18</v>
      </c>
      <c r="AX4">
        <v>19</v>
      </c>
      <c r="AY4">
        <v>20</v>
      </c>
    </row>
    <row r="5" spans="1:52" s="24" customFormat="1" ht="215.25">
      <c r="A5" s="25" t="s">
        <v>193</v>
      </c>
      <c r="B5" s="270" t="s">
        <v>124</v>
      </c>
      <c r="C5" s="44" t="str">
        <f>"Player ("&amp;COUNTA(C6:C17)&amp;")"</f>
        <v>Player (3)</v>
      </c>
      <c r="D5" s="44" t="s">
        <v>91</v>
      </c>
      <c r="E5" s="44" t="s">
        <v>101</v>
      </c>
      <c r="F5" s="51" t="str">
        <f>"Only 1 guy who plays only 1B ("&amp;SUM(F6:F17)&amp;")"</f>
        <v>Only 1 guy who plays only 1B (2)</v>
      </c>
      <c r="G5" s="45" t="str">
        <f>"Only 1 guy who can only play 1B or LF ("&amp;SUM(G6:G17)&amp;")"</f>
        <v>Only 1 guy who can only play 1B or LF (2)</v>
      </c>
      <c r="H5" s="46" t="str">
        <f>"2 guys with RF arms ("&amp;SUM(H6:H17)&amp;")"</f>
        <v>2 guys with RF arms (1)</v>
      </c>
      <c r="I5" s="46" t="str">
        <f>"2 guys with CF range ("&amp;SUM(I6:I17)&amp;")"</f>
        <v>2 guys with CF range (0)</v>
      </c>
      <c r="J5" s="55" t="s">
        <v>136</v>
      </c>
      <c r="K5" s="47" t="s">
        <v>134</v>
      </c>
      <c r="L5" s="56" t="s">
        <v>135</v>
      </c>
      <c r="M5" s="48" t="s">
        <v>92</v>
      </c>
      <c r="N5" s="48" t="s">
        <v>94</v>
      </c>
      <c r="O5" s="48" t="s">
        <v>95</v>
      </c>
      <c r="P5" s="48" t="s">
        <v>96</v>
      </c>
      <c r="Q5" s="48" t="s">
        <v>97</v>
      </c>
      <c r="R5" s="48" t="s">
        <v>98</v>
      </c>
      <c r="S5" s="48" t="s">
        <v>99</v>
      </c>
      <c r="T5" s="49" t="s">
        <v>100</v>
      </c>
      <c r="U5" s="51" t="s">
        <v>137</v>
      </c>
      <c r="V5" s="45" t="s">
        <v>181</v>
      </c>
      <c r="W5" s="45" t="s">
        <v>138</v>
      </c>
      <c r="X5" s="45" t="s">
        <v>154</v>
      </c>
      <c r="Y5" s="45" t="s">
        <v>153</v>
      </c>
      <c r="Z5" s="45" t="s">
        <v>141</v>
      </c>
      <c r="AA5" s="45" t="s">
        <v>142</v>
      </c>
      <c r="AB5" s="45" t="s">
        <v>159</v>
      </c>
      <c r="AC5" s="60" t="s">
        <v>143</v>
      </c>
      <c r="AD5" s="48" t="s">
        <v>147</v>
      </c>
      <c r="AE5" s="48" t="s">
        <v>148</v>
      </c>
      <c r="AF5" s="48" t="s">
        <v>149</v>
      </c>
      <c r="AG5" s="48" t="s">
        <v>150</v>
      </c>
      <c r="AH5" s="48" t="s">
        <v>29</v>
      </c>
      <c r="AI5" s="63" t="s">
        <v>151</v>
      </c>
      <c r="AJ5" s="49" t="s">
        <v>152</v>
      </c>
      <c r="AK5" s="66" t="s">
        <v>157</v>
      </c>
      <c r="AL5" s="51" t="s">
        <v>137</v>
      </c>
      <c r="AM5" s="45" t="s">
        <v>181</v>
      </c>
      <c r="AN5" s="45" t="s">
        <v>138</v>
      </c>
      <c r="AO5" s="45" t="s">
        <v>154</v>
      </c>
      <c r="AP5" s="45" t="s">
        <v>153</v>
      </c>
      <c r="AQ5" s="45" t="s">
        <v>141</v>
      </c>
      <c r="AR5" s="45" t="s">
        <v>142</v>
      </c>
      <c r="AS5" s="45" t="s">
        <v>159</v>
      </c>
      <c r="AT5" s="60" t="s">
        <v>143</v>
      </c>
      <c r="AU5" s="63" t="s">
        <v>147</v>
      </c>
      <c r="AV5" s="48" t="s">
        <v>148</v>
      </c>
      <c r="AW5" s="48" t="s">
        <v>149</v>
      </c>
      <c r="AX5" s="48" t="s">
        <v>150</v>
      </c>
      <c r="AY5" s="49" t="s">
        <v>29</v>
      </c>
      <c r="AZ5" s="66" t="s">
        <v>197</v>
      </c>
    </row>
    <row r="6" spans="1:52">
      <c r="A6">
        <v>1</v>
      </c>
      <c r="B6" s="32" t="s">
        <v>94</v>
      </c>
      <c r="C6" s="37" t="s">
        <v>524</v>
      </c>
      <c r="D6" s="33">
        <f>IF($C6="","",VLOOKUP($C6,CTBat!$G$10:$BR$203,D$4,FALSE))</f>
        <v>22</v>
      </c>
      <c r="E6" s="33" t="str">
        <f>IF($C6="","",VLOOKUP($C6,CTBat!$G$10:$BR$203,E$4,FALSE))</f>
        <v>L</v>
      </c>
      <c r="F6" s="52">
        <f>IF($C6="","",IF(AND(N6&gt;0,N6=SUM(M6:T6)),1,0))</f>
        <v>1</v>
      </c>
      <c r="G6" s="34">
        <f>IF($C6="","",IF(AND(OR(N6&gt;0,R6&gt;0),SUM(N6,R6)=SUM(M6:T6)),1,0))</f>
        <v>1</v>
      </c>
      <c r="H6" s="34">
        <f>IF($C6="","",IF(L6&gt;6,1,0))</f>
        <v>0</v>
      </c>
      <c r="I6" s="34">
        <f t="shared" ref="I6:I10" si="0">IF($C6="","",IF(AND(S6&gt;4,S6&lt;&gt;"-"),1,0))</f>
        <v>0</v>
      </c>
      <c r="J6" s="57">
        <f>IF($C6="","",VLOOKUP($C6,CTBat!$G$10:$BR$203,J$4,FALSE))</f>
        <v>1</v>
      </c>
      <c r="K6" s="33">
        <f>IF($C6="","",VLOOKUP($C6,CTBat!$G$10:$BR$203,K$4,FALSE))</f>
        <v>4</v>
      </c>
      <c r="L6" s="35">
        <f>IF($C6="","",VLOOKUP($C6,CTBat!$G$10:$BR$203,L$4,FALSE))</f>
        <v>2</v>
      </c>
      <c r="M6" s="33" t="str">
        <f>IF($C6="","",VLOOKUP($C6,CTBat!$G$10:$BR$203,M$4,FALSE))</f>
        <v>-</v>
      </c>
      <c r="N6" s="33">
        <f>IF($C6="","",VLOOKUP($C6,CTBat!$G$10:$BR$203,N$4,FALSE))</f>
        <v>6</v>
      </c>
      <c r="O6" s="33" t="str">
        <f>IF($C6="","",VLOOKUP($C6,CTBat!$G$10:$BR$203,O$4,FALSE))</f>
        <v>-</v>
      </c>
      <c r="P6" s="33" t="str">
        <f>IF($C6="","",VLOOKUP($C6,CTBat!$G$10:$BR$203,P$4,FALSE))</f>
        <v>-</v>
      </c>
      <c r="Q6" s="33" t="str">
        <f>IF($C6="","",VLOOKUP($C6,CTBat!$G$10:$BR$203,Q$4,FALSE))</f>
        <v>-</v>
      </c>
      <c r="R6" s="33" t="str">
        <f>IF($C6="","",VLOOKUP($C6,CTBat!$G$10:$BR$203,R$4,FALSE))</f>
        <v>-</v>
      </c>
      <c r="S6" s="33" t="str">
        <f>IF($C6="","",VLOOKUP($C6,CTBat!$G$10:$BR$203,S$4,FALSE))</f>
        <v>-</v>
      </c>
      <c r="T6" s="35" t="str">
        <f>IF($C6="","",VLOOKUP($C6,CTBat!$G$10:$BR$203,T$4,FALSE))</f>
        <v>-</v>
      </c>
      <c r="U6" s="53">
        <f t="shared" ref="U6:U17" si="1">IF($C6="","",IF(OR(AD6+AG6&gt;14,AND(OR(AD6+AG6&gt;12,AND(AD6&gt;6,AG6&gt;6)),AI6&gt;6,OR(AJ6&gt;=AI6,AJ6&gt;6))),1,0))</f>
        <v>0</v>
      </c>
      <c r="V6" s="275">
        <f t="shared" ref="V6:V17" si="2">IF($C6="","",IF(OR(AND(AD6&gt;6,AH6&gt;6),AD6+AG6&gt;12),1,0))</f>
        <v>0</v>
      </c>
      <c r="W6" s="34">
        <f>IF($C6="","",IF(AND(AD6&gt;6,AF6&gt;6,AG6&gt;6),1,0))</f>
        <v>0</v>
      </c>
      <c r="X6" s="34">
        <f>IF($C6="","",IF(AND(AF6&gt;7,OR(AD6&gt;6,AG6&gt;6)),1,0))</f>
        <v>0</v>
      </c>
      <c r="Y6" s="34">
        <f>IF($C6="","",IF(AND(AF6&gt;6,OR(AD6&gt;6,AG6&gt;6)),1,0))</f>
        <v>0</v>
      </c>
      <c r="Z6" s="34">
        <f>IF($C6="","",IF(AND(OR(AD6&gt;6,AF6&gt;6),OR(AD6&gt;6,AG6&gt;6)),1,0))</f>
        <v>0</v>
      </c>
      <c r="AA6" s="34">
        <f>IF($C6="","",IF(AND(AD6&gt;4,OR(AD6&gt;6,AF6&gt;6,AG6&gt;6)),1,0))</f>
        <v>0</v>
      </c>
      <c r="AB6" s="34">
        <f>IF($C6="","",IF(AND(AD6&gt;4,OR(AD6&gt;6,AE6&gt;6,AF6&gt;6,AG6&gt;6)),1,0))</f>
        <v>0</v>
      </c>
      <c r="AC6" s="61">
        <f>IF($C6="","",IF(AND(AD6&gt;4,MAX(AD6:AH6)&gt;6),1,0))</f>
        <v>0</v>
      </c>
      <c r="AD6" s="33">
        <f>IF($C6="","",VLOOKUP($C6,CTBat!$G$10:$BR$203,AD$4,FALSE))</f>
        <v>5</v>
      </c>
      <c r="AE6" s="33">
        <f>IF($C6="","",VLOOKUP($C6,CTBat!$G$10:$BR$203,AE$4,FALSE))</f>
        <v>3</v>
      </c>
      <c r="AF6" s="33">
        <f>IF($C6="","",VLOOKUP($C6,CTBat!$G$10:$BR$203,AF$4,FALSE))</f>
        <v>2</v>
      </c>
      <c r="AG6" s="33">
        <f>IF($C6="","",VLOOKUP($C6,CTBat!$G$10:$BR$203,AG$4,FALSE))</f>
        <v>5</v>
      </c>
      <c r="AH6" s="33">
        <f>IF($C6="","",VLOOKUP($C6,CTBat!$G$10:$BR$203,AH$4,FALSE))</f>
        <v>3</v>
      </c>
      <c r="AI6" s="57">
        <f>IF($C6="","",VLOOKUP($C6,CTBat!$G$10:$BR$203,AI$4,FALSE))</f>
        <v>4</v>
      </c>
      <c r="AJ6" s="35">
        <f>IF($C6="","",VLOOKUP($C6,CTBat!$G$10:$BR$203,AJ$4,FALSE))</f>
        <v>3</v>
      </c>
      <c r="AK6" s="67">
        <f>IF($C6="","",(5*AD6+4*AF6+3*AG6+2*AE6+1*AH6+0.5*(AVERAGE(AD6:AE6))+0.5*AVERAGE(AD6,AH6)+1*(AVERAGE(AD6,AF6))+1*AVERAGE(AD6,AG6))/(5+4+3+2+1+0.5+0.5+1+1))</f>
        <v>3.8611111111111112</v>
      </c>
      <c r="AL6" s="52">
        <f>IF($C6="","",IF(AND(OR(AU6+AX6&gt;12,AND(AU6&gt;6,AX6&gt;6)),AI6&gt;6,OR(AJ6&gt;=AI6,AJ6&gt;6)),1,0))</f>
        <v>0</v>
      </c>
      <c r="AM6" s="34">
        <f>IF($C6="","",IF(OR(AND(AU6&gt;6,AY6&gt;6),AU6+AX6&gt;12),1,0))</f>
        <v>1</v>
      </c>
      <c r="AN6" s="34">
        <f>IF($C6="","",IF(AND(AU6&gt;6,AW6&gt;6,AX6&gt;6),1,0))</f>
        <v>0</v>
      </c>
      <c r="AO6" s="34">
        <f>IF($C6="","",IF(AND(AW6&gt;7,OR(AU6&gt;6,AX6&gt;6)),1,0))</f>
        <v>0</v>
      </c>
      <c r="AP6" s="34">
        <f>IF($C6="","",IF(AND(AW6&gt;6,OR(AU6&gt;6,AX6&gt;6)),1,0))</f>
        <v>0</v>
      </c>
      <c r="AQ6" s="34">
        <f>IF($C6="","",IF(AND(OR(AU6&gt;6,AW6&gt;6),OR(AU6&gt;6,AX6&gt;6)),1,0))</f>
        <v>1</v>
      </c>
      <c r="AR6" s="34">
        <f>IF($C6="","",IF(AND(AU6&gt;4,OR(AU6&gt;6,AW6&gt;6,AX6&gt;6)),1,0))</f>
        <v>1</v>
      </c>
      <c r="AS6" s="34">
        <f>IF($C6="","",IF(AND(AU6&gt;4,OR(AU6&gt;6,AV6&gt;6,AW6&gt;6,AX6&gt;6)),1,0))</f>
        <v>1</v>
      </c>
      <c r="AT6" s="61">
        <f>IF($C6="","",IF(AND(AU6&gt;4,MAX(AU6:AY6)&gt;6),1,0))</f>
        <v>1</v>
      </c>
      <c r="AU6" s="57">
        <f>IF($C6="","",VLOOKUP($C6,CTBat!$G$10:$BR$203,AU$4,FALSE))</f>
        <v>7</v>
      </c>
      <c r="AV6" s="33">
        <f>IF($C6="","",VLOOKUP($C6,CTBat!$G$10:$BR$203,AV$4,FALSE))</f>
        <v>4</v>
      </c>
      <c r="AW6" s="33">
        <f>IF($C6="","",VLOOKUP($C6,CTBat!$G$10:$BR$203,AW$4,FALSE))</f>
        <v>4</v>
      </c>
      <c r="AX6" s="33">
        <f>IF($C6="","",VLOOKUP($C6,CTBat!$G$10:$BR$203,AX$4,FALSE))</f>
        <v>7</v>
      </c>
      <c r="AY6" s="35">
        <f>IF($C6="","",VLOOKUP($C6,CTBat!$G$10:$BR$203,AY$4,FALSE))</f>
        <v>5</v>
      </c>
      <c r="AZ6" s="67">
        <f>IF($C6="","",(5*AU6+4*AW6+3*AX6+2*AV6+1*AY6+0.5*(AVERAGE(AU6:AV6))+0.5*AVERAGE(AU6,AY6)+1*(AVERAGE(AU6,AW6))+1*AVERAGE(AU6,AX6))/(5+4+3+2+1+0.5+0.5+1+1))</f>
        <v>5.7361111111111107</v>
      </c>
    </row>
    <row r="7" spans="1:52">
      <c r="A7">
        <v>2</v>
      </c>
      <c r="B7" s="36" t="s">
        <v>98</v>
      </c>
      <c r="C7" s="37"/>
      <c r="D7" s="37" t="str">
        <f>IF($C7="","",VLOOKUP($C7,CTBat!$G$10:$BR$203,D$4,FALSE))</f>
        <v/>
      </c>
      <c r="E7" s="37" t="str">
        <f>IF($C7="","",VLOOKUP($C7,CTBat!$G$10:$BR$203,E$4,FALSE))</f>
        <v/>
      </c>
      <c r="F7" s="53" t="str">
        <f t="shared" ref="F7:F17" si="3">IF($C7="","",IF(AND(N7&gt;0,N7=SUM(M7:T7)),1,0))</f>
        <v/>
      </c>
      <c r="G7" s="275" t="str">
        <f t="shared" ref="G7:G17" si="4">IF($C7="","",IF(AND(OR(N7&gt;0,R7&gt;0),SUM(N7,R7)=SUM(M7:T7)),1,0))</f>
        <v/>
      </c>
      <c r="H7" s="275" t="str">
        <f t="shared" ref="H7:H17" si="5">IF($C7="","",IF(L7&gt;6,1,0))</f>
        <v/>
      </c>
      <c r="I7" s="275" t="str">
        <f t="shared" si="0"/>
        <v/>
      </c>
      <c r="J7" s="58" t="str">
        <f>IF($C7="","",VLOOKUP($C7,CTBat!$G$10:$BR$203,J$4,FALSE))</f>
        <v/>
      </c>
      <c r="K7" s="37" t="str">
        <f>IF($C7="","",VLOOKUP($C7,CTBat!$G$10:$BR$203,K$4,FALSE))</f>
        <v/>
      </c>
      <c r="L7" s="38" t="str">
        <f>IF($C7="","",VLOOKUP($C7,CTBat!$G$10:$BR$203,L$4,FALSE))</f>
        <v/>
      </c>
      <c r="M7" s="37" t="str">
        <f>IF($C7="","",VLOOKUP($C7,CTBat!$G$10:$BR$203,M$4,FALSE))</f>
        <v/>
      </c>
      <c r="N7" s="37" t="str">
        <f>IF($C7="","",VLOOKUP($C7,CTBat!$G$10:$BR$203,N$4,FALSE))</f>
        <v/>
      </c>
      <c r="O7" s="37" t="str">
        <f>IF($C7="","",VLOOKUP($C7,CTBat!$G$10:$BR$203,O$4,FALSE))</f>
        <v/>
      </c>
      <c r="P7" s="37" t="str">
        <f>IF($C7="","",VLOOKUP($C7,CTBat!$G$10:$BR$203,P$4,FALSE))</f>
        <v/>
      </c>
      <c r="Q7" s="37" t="str">
        <f>IF($C7="","",VLOOKUP($C7,CTBat!$G$10:$BR$203,Q$4,FALSE))</f>
        <v/>
      </c>
      <c r="R7" s="37" t="str">
        <f>IF($C7="","",VLOOKUP($C7,CTBat!$G$10:$BR$203,R$4,FALSE))</f>
        <v/>
      </c>
      <c r="S7" s="37" t="str">
        <f>IF($C7="","",VLOOKUP($C7,CTBat!$G$10:$BR$203,S$4,FALSE))</f>
        <v/>
      </c>
      <c r="T7" s="38" t="str">
        <f>IF($C7="","",VLOOKUP($C7,CTBat!$G$10:$BR$203,T$4,FALSE))</f>
        <v/>
      </c>
      <c r="U7" s="53" t="str">
        <f t="shared" si="1"/>
        <v/>
      </c>
      <c r="V7" s="275" t="str">
        <f t="shared" si="2"/>
        <v/>
      </c>
      <c r="W7" s="275" t="str">
        <f t="shared" ref="W7:W17" si="6">IF($C7="","",IF(AND(AD7&gt;6,AF7&gt;6,AG7&gt;6),1,0))</f>
        <v/>
      </c>
      <c r="X7" s="275" t="str">
        <f t="shared" ref="X7:X17" si="7">IF($C7="","",IF(AND(AF7&gt;7,OR(AD7&gt;6,AG7&gt;6)),1,0))</f>
        <v/>
      </c>
      <c r="Y7" s="275" t="str">
        <f t="shared" ref="Y7:Y17" si="8">IF($C7="","",IF(AND(AF7&gt;6,OR(AD7&gt;6,AG7&gt;6)),1,0))</f>
        <v/>
      </c>
      <c r="Z7" s="275" t="str">
        <f t="shared" ref="Z7:Z17" si="9">IF($C7="","",IF(AND(OR(AD7&gt;6,AF7&gt;6),OR(AD7&gt;6,AG7&gt;6)),1,0))</f>
        <v/>
      </c>
      <c r="AA7" s="275" t="str">
        <f t="shared" ref="AA7:AA17" si="10">IF($C7="","",IF(AND(AD7&gt;4,OR(AD7&gt;6,AF7&gt;6,AG7&gt;6)),1,0))</f>
        <v/>
      </c>
      <c r="AB7" s="275" t="str">
        <f t="shared" ref="AB7:AB17" si="11">IF($C7="","",IF(AND(AD7&gt;4,OR(AD7&gt;6,AE7&gt;6,AF7&gt;6,AG7&gt;6)),1,0))</f>
        <v/>
      </c>
      <c r="AC7" s="276" t="str">
        <f t="shared" ref="AC7:AC17" si="12">IF($C7="","",IF(AND(AD7&gt;4,MAX(AD7:AH7)&gt;6),1,0))</f>
        <v/>
      </c>
      <c r="AD7" s="37" t="str">
        <f>IF($C7="","",VLOOKUP($C7,CTBat!$G$10:$BR$203,AD$4,FALSE))</f>
        <v/>
      </c>
      <c r="AE7" s="37" t="str">
        <f>IF($C7="","",VLOOKUP($C7,CTBat!$G$10:$BR$203,AE$4,FALSE))</f>
        <v/>
      </c>
      <c r="AF7" s="37" t="str">
        <f>IF($C7="","",VLOOKUP($C7,CTBat!$G$10:$BR$203,AF$4,FALSE))</f>
        <v/>
      </c>
      <c r="AG7" s="37" t="str">
        <f>IF($C7="","",VLOOKUP($C7,CTBat!$G$10:$BR$203,AG$4,FALSE))</f>
        <v/>
      </c>
      <c r="AH7" s="37" t="str">
        <f>IF($C7="","",VLOOKUP($C7,CTBat!$G$10:$BR$203,AH$4,FALSE))</f>
        <v/>
      </c>
      <c r="AI7" s="58" t="str">
        <f>IF($C7="","",VLOOKUP($C7,CTBat!$G$10:$BR$203,AI$4,FALSE))</f>
        <v/>
      </c>
      <c r="AJ7" s="38" t="str">
        <f>IF($C7="","",VLOOKUP($C7,CTBat!$G$10:$BR$203,AJ$4,FALSE))</f>
        <v/>
      </c>
      <c r="AK7" s="67" t="str">
        <f t="shared" ref="AK7:AK17" si="13">IF($C7="","",(5*AD7+4*AF7+3*AG7+2*AE7+1*AH7+0.5*(AVERAGE(AD7:AE7))+0.5*AVERAGE(AD7,AH7)+1*(AVERAGE(AD7,AF7))+1*AVERAGE(AD7,AG7))/(5+4+3+2+1+0.5+0.5+1+1))</f>
        <v/>
      </c>
      <c r="AL7" s="53" t="str">
        <f t="shared" ref="AL7:AL17" si="14">IF($C7="","",IF(AND(OR(AU7+AX7&gt;12,AND(AU7&gt;6,AX7&gt;6)),AI7&gt;6,OR(AJ7&gt;=AI7,AJ7&gt;6)),1,0))</f>
        <v/>
      </c>
      <c r="AM7" s="275" t="str">
        <f t="shared" ref="AM7:AM17" si="15">IF($C7="","",IF(OR(AND(AU7&gt;6,AY7&gt;6),AU7+AX7&gt;12),1,0))</f>
        <v/>
      </c>
      <c r="AN7" s="275" t="str">
        <f t="shared" ref="AN7:AN17" si="16">IF($C7="","",IF(AND(AU7&gt;6,AW7&gt;6,AX7&gt;6),1,0))</f>
        <v/>
      </c>
      <c r="AO7" s="275" t="str">
        <f t="shared" ref="AO7:AO17" si="17">IF($C7="","",IF(AND(AW7&gt;7,OR(AU7&gt;6,AX7&gt;6)),1,0))</f>
        <v/>
      </c>
      <c r="AP7" s="275" t="str">
        <f t="shared" ref="AP7:AP17" si="18">IF($C7="","",IF(AND(AW7&gt;6,OR(AU7&gt;6,AX7&gt;6)),1,0))</f>
        <v/>
      </c>
      <c r="AQ7" s="275" t="str">
        <f t="shared" ref="AQ7:AQ17" si="19">IF($C7="","",IF(AND(OR(AU7&gt;6,AW7&gt;6),OR(AU7&gt;6,AX7&gt;6)),1,0))</f>
        <v/>
      </c>
      <c r="AR7" s="275" t="str">
        <f t="shared" ref="AR7:AR17" si="20">IF($C7="","",IF(AND(AU7&gt;4,OR(AU7&gt;6,AW7&gt;6,AX7&gt;6)),1,0))</f>
        <v/>
      </c>
      <c r="AS7" s="275" t="str">
        <f t="shared" ref="AS7:AS17" si="21">IF($C7="","",IF(AND(AU7&gt;4,OR(AU7&gt;6,AV7&gt;6,AW7&gt;6,AX7&gt;6)),1,0))</f>
        <v/>
      </c>
      <c r="AT7" s="276" t="str">
        <f t="shared" ref="AT7:AT17" si="22">IF($C7="","",IF(AND(AU7&gt;4,MAX(AU7:AY7)&gt;6),1,0))</f>
        <v/>
      </c>
      <c r="AU7" s="58" t="str">
        <f>IF($C7="","",VLOOKUP($C7,CTBat!$G$10:$BR$203,AU$4,FALSE))</f>
        <v/>
      </c>
      <c r="AV7" s="37" t="str">
        <f>IF($C7="","",VLOOKUP($C7,CTBat!$G$10:$BR$203,AV$4,FALSE))</f>
        <v/>
      </c>
      <c r="AW7" s="37" t="str">
        <f>IF($C7="","",VLOOKUP($C7,CTBat!$G$10:$BR$203,AW$4,FALSE))</f>
        <v/>
      </c>
      <c r="AX7" s="37" t="str">
        <f>IF($C7="","",VLOOKUP($C7,CTBat!$G$10:$BR$203,AX$4,FALSE))</f>
        <v/>
      </c>
      <c r="AY7" s="38" t="str">
        <f>IF($C7="","",VLOOKUP($C7,CTBat!$G$10:$BR$203,AY$4,FALSE))</f>
        <v/>
      </c>
      <c r="AZ7" s="67" t="str">
        <f t="shared" ref="AZ7:AZ17" si="23">IF($C7="","",(5*AU7+4*AW7+3*AX7+2*AV7+1*AY7+0.5*(AVERAGE(AU7:AV7))+0.5*AVERAGE(AU7,AY7)+1*(AVERAGE(AU7,AW7))+1*AVERAGE(AU7,AX7))/(5+4+3+2+1+0.5+0.5+1+1))</f>
        <v/>
      </c>
    </row>
    <row r="8" spans="1:52">
      <c r="A8">
        <v>3</v>
      </c>
      <c r="B8" s="36" t="s">
        <v>99</v>
      </c>
      <c r="C8" s="37"/>
      <c r="D8" s="37" t="str">
        <f>IF($C8="","",VLOOKUP($C8,CTBat!$G$10:$BR$203,D$4,FALSE))</f>
        <v/>
      </c>
      <c r="E8" s="37" t="str">
        <f>IF($C8="","",VLOOKUP($C8,CTBat!$G$10:$BR$203,E$4,FALSE))</f>
        <v/>
      </c>
      <c r="F8" s="53" t="str">
        <f t="shared" si="3"/>
        <v/>
      </c>
      <c r="G8" s="275" t="str">
        <f t="shared" si="4"/>
        <v/>
      </c>
      <c r="H8" s="275" t="str">
        <f t="shared" si="5"/>
        <v/>
      </c>
      <c r="I8" s="275" t="str">
        <f t="shared" si="0"/>
        <v/>
      </c>
      <c r="J8" s="58" t="str">
        <f>IF($C8="","",VLOOKUP($C8,CTBat!$G$10:$BR$203,J$4,FALSE))</f>
        <v/>
      </c>
      <c r="K8" s="37" t="str">
        <f>IF($C8="","",VLOOKUP($C8,CTBat!$G$10:$BR$203,K$4,FALSE))</f>
        <v/>
      </c>
      <c r="L8" s="38" t="str">
        <f>IF($C8="","",VLOOKUP($C8,CTBat!$G$10:$BR$203,L$4,FALSE))</f>
        <v/>
      </c>
      <c r="M8" s="37" t="str">
        <f>IF($C8="","",VLOOKUP($C8,CTBat!$G$10:$BR$203,M$4,FALSE))</f>
        <v/>
      </c>
      <c r="N8" s="37" t="str">
        <f>IF($C8="","",VLOOKUP($C8,CTBat!$G$10:$BR$203,N$4,FALSE))</f>
        <v/>
      </c>
      <c r="O8" s="37" t="str">
        <f>IF($C8="","",VLOOKUP($C8,CTBat!$G$10:$BR$203,O$4,FALSE))</f>
        <v/>
      </c>
      <c r="P8" s="37" t="str">
        <f>IF($C8="","",VLOOKUP($C8,CTBat!$G$10:$BR$203,P$4,FALSE))</f>
        <v/>
      </c>
      <c r="Q8" s="37" t="str">
        <f>IF($C8="","",VLOOKUP($C8,CTBat!$G$10:$BR$203,Q$4,FALSE))</f>
        <v/>
      </c>
      <c r="R8" s="37" t="str">
        <f>IF($C8="","",VLOOKUP($C8,CTBat!$G$10:$BR$203,R$4,FALSE))</f>
        <v/>
      </c>
      <c r="S8" s="37" t="str">
        <f>IF($C8="","",VLOOKUP($C8,CTBat!$G$10:$BR$203,S$4,FALSE))</f>
        <v/>
      </c>
      <c r="T8" s="38" t="str">
        <f>IF($C8="","",VLOOKUP($C8,CTBat!$G$10:$BR$203,T$4,FALSE))</f>
        <v/>
      </c>
      <c r="U8" s="53" t="str">
        <f t="shared" si="1"/>
        <v/>
      </c>
      <c r="V8" s="275" t="str">
        <f t="shared" si="2"/>
        <v/>
      </c>
      <c r="W8" s="275" t="str">
        <f t="shared" si="6"/>
        <v/>
      </c>
      <c r="X8" s="275" t="str">
        <f t="shared" si="7"/>
        <v/>
      </c>
      <c r="Y8" s="275" t="str">
        <f t="shared" si="8"/>
        <v/>
      </c>
      <c r="Z8" s="275" t="str">
        <f t="shared" si="9"/>
        <v/>
      </c>
      <c r="AA8" s="275" t="str">
        <f t="shared" si="10"/>
        <v/>
      </c>
      <c r="AB8" s="275" t="str">
        <f t="shared" si="11"/>
        <v/>
      </c>
      <c r="AC8" s="276" t="str">
        <f t="shared" si="12"/>
        <v/>
      </c>
      <c r="AD8" s="37" t="str">
        <f>IF($C8="","",VLOOKUP($C8,CTBat!$G$10:$BR$203,AD$4,FALSE))</f>
        <v/>
      </c>
      <c r="AE8" s="37" t="str">
        <f>IF($C8="","",VLOOKUP($C8,CTBat!$G$10:$BR$203,AE$4,FALSE))</f>
        <v/>
      </c>
      <c r="AF8" s="37" t="str">
        <f>IF($C8="","",VLOOKUP($C8,CTBat!$G$10:$BR$203,AF$4,FALSE))</f>
        <v/>
      </c>
      <c r="AG8" s="37" t="str">
        <f>IF($C8="","",VLOOKUP($C8,CTBat!$G$10:$BR$203,AG$4,FALSE))</f>
        <v/>
      </c>
      <c r="AH8" s="37" t="str">
        <f>IF($C8="","",VLOOKUP($C8,CTBat!$G$10:$BR$203,AH$4,FALSE))</f>
        <v/>
      </c>
      <c r="AI8" s="58" t="str">
        <f>IF($C8="","",VLOOKUP($C8,CTBat!$G$10:$BR$203,AI$4,FALSE))</f>
        <v/>
      </c>
      <c r="AJ8" s="38" t="str">
        <f>IF($C8="","",VLOOKUP($C8,CTBat!$G$10:$BR$203,AJ$4,FALSE))</f>
        <v/>
      </c>
      <c r="AK8" s="67" t="str">
        <f t="shared" si="13"/>
        <v/>
      </c>
      <c r="AL8" s="53" t="str">
        <f t="shared" si="14"/>
        <v/>
      </c>
      <c r="AM8" s="275" t="str">
        <f t="shared" si="15"/>
        <v/>
      </c>
      <c r="AN8" s="275" t="str">
        <f t="shared" si="16"/>
        <v/>
      </c>
      <c r="AO8" s="275" t="str">
        <f t="shared" si="17"/>
        <v/>
      </c>
      <c r="AP8" s="275" t="str">
        <f t="shared" si="18"/>
        <v/>
      </c>
      <c r="AQ8" s="275" t="str">
        <f t="shared" si="19"/>
        <v/>
      </c>
      <c r="AR8" s="275" t="str">
        <f t="shared" si="20"/>
        <v/>
      </c>
      <c r="AS8" s="275" t="str">
        <f t="shared" si="21"/>
        <v/>
      </c>
      <c r="AT8" s="276" t="str">
        <f t="shared" si="22"/>
        <v/>
      </c>
      <c r="AU8" s="58" t="str">
        <f>IF($C8="","",VLOOKUP($C8,CTBat!$G$10:$BR$203,AU$4,FALSE))</f>
        <v/>
      </c>
      <c r="AV8" s="37" t="str">
        <f>IF($C8="","",VLOOKUP($C8,CTBat!$G$10:$BR$203,AV$4,FALSE))</f>
        <v/>
      </c>
      <c r="AW8" s="37" t="str">
        <f>IF($C8="","",VLOOKUP($C8,CTBat!$G$10:$BR$203,AW$4,FALSE))</f>
        <v/>
      </c>
      <c r="AX8" s="37" t="str">
        <f>IF($C8="","",VLOOKUP($C8,CTBat!$G$10:$BR$203,AX$4,FALSE))</f>
        <v/>
      </c>
      <c r="AY8" s="38" t="str">
        <f>IF($C8="","",VLOOKUP($C8,CTBat!$G$10:$BR$203,AY$4,FALSE))</f>
        <v/>
      </c>
      <c r="AZ8" s="67" t="str">
        <f t="shared" si="23"/>
        <v/>
      </c>
    </row>
    <row r="9" spans="1:52">
      <c r="A9">
        <v>4</v>
      </c>
      <c r="B9" s="36" t="s">
        <v>100</v>
      </c>
      <c r="C9" s="65" t="s">
        <v>468</v>
      </c>
      <c r="D9" s="37">
        <f>IF($C9="","",VLOOKUP($C9,CTBat!$G$10:$BR$203,D$4,FALSE))</f>
        <v>23</v>
      </c>
      <c r="E9" s="37" t="str">
        <f>IF($C9="","",VLOOKUP($C9,CTBat!$G$10:$BR$203,E$4,FALSE))</f>
        <v>R</v>
      </c>
      <c r="F9" s="53">
        <f t="shared" si="3"/>
        <v>0</v>
      </c>
      <c r="G9" s="275">
        <f t="shared" si="4"/>
        <v>0</v>
      </c>
      <c r="H9" s="275">
        <f t="shared" si="5"/>
        <v>1</v>
      </c>
      <c r="I9" s="275">
        <f t="shared" si="0"/>
        <v>0</v>
      </c>
      <c r="J9" s="58">
        <f>IF($C9="","",VLOOKUP($C9,CTBat!$G$10:$BR$203,J$4,FALSE))</f>
        <v>1</v>
      </c>
      <c r="K9" s="37">
        <f>IF($C9="","",VLOOKUP($C9,CTBat!$G$10:$BR$203,K$4,FALSE))</f>
        <v>1</v>
      </c>
      <c r="L9" s="38">
        <f>IF($C9="","",VLOOKUP($C9,CTBat!$G$10:$BR$203,L$4,FALSE))</f>
        <v>7</v>
      </c>
      <c r="M9" s="37" t="str">
        <f>IF($C9="","",VLOOKUP($C9,CTBat!$G$10:$BR$203,M$4,FALSE))</f>
        <v>-</v>
      </c>
      <c r="N9" s="37">
        <f>IF($C9="","",VLOOKUP($C9,CTBat!$G$10:$BR$203,N$4,FALSE))</f>
        <v>1</v>
      </c>
      <c r="O9" s="37" t="str">
        <f>IF($C9="","",VLOOKUP($C9,CTBat!$G$10:$BR$203,O$4,FALSE))</f>
        <v>-</v>
      </c>
      <c r="P9" s="37" t="str">
        <f>IF($C9="","",VLOOKUP($C9,CTBat!$G$10:$BR$203,P$4,FALSE))</f>
        <v>-</v>
      </c>
      <c r="Q9" s="37" t="str">
        <f>IF($C9="","",VLOOKUP($C9,CTBat!$G$10:$BR$203,Q$4,FALSE))</f>
        <v>-</v>
      </c>
      <c r="R9" s="37">
        <f>IF($C9="","",VLOOKUP($C9,CTBat!$G$10:$BR$203,R$4,FALSE))</f>
        <v>3</v>
      </c>
      <c r="S9" s="37" t="str">
        <f>IF($C9="","",VLOOKUP($C9,CTBat!$G$10:$BR$203,S$4,FALSE))</f>
        <v>-</v>
      </c>
      <c r="T9" s="38">
        <f>IF($C9="","",VLOOKUP($C9,CTBat!$G$10:$BR$203,T$4,FALSE))</f>
        <v>3</v>
      </c>
      <c r="U9" s="53">
        <f t="shared" si="1"/>
        <v>0</v>
      </c>
      <c r="V9" s="275">
        <f t="shared" si="2"/>
        <v>0</v>
      </c>
      <c r="W9" s="275">
        <f t="shared" si="6"/>
        <v>0</v>
      </c>
      <c r="X9" s="275">
        <f t="shared" si="7"/>
        <v>0</v>
      </c>
      <c r="Y9" s="275">
        <f t="shared" si="8"/>
        <v>0</v>
      </c>
      <c r="Z9" s="275">
        <f t="shared" si="9"/>
        <v>0</v>
      </c>
      <c r="AA9" s="275">
        <f t="shared" si="10"/>
        <v>0</v>
      </c>
      <c r="AB9" s="275">
        <f t="shared" si="11"/>
        <v>0</v>
      </c>
      <c r="AC9" s="276">
        <f t="shared" si="12"/>
        <v>0</v>
      </c>
      <c r="AD9" s="37">
        <f>IF($C9="","",VLOOKUP($C9,CTBat!$G$10:$BR$203,AD$4,FALSE))</f>
        <v>4</v>
      </c>
      <c r="AE9" s="37">
        <f>IF($C9="","",VLOOKUP($C9,CTBat!$G$10:$BR$203,AE$4,FALSE))</f>
        <v>3</v>
      </c>
      <c r="AF9" s="37">
        <f>IF($C9="","",VLOOKUP($C9,CTBat!$G$10:$BR$203,AF$4,FALSE))</f>
        <v>2</v>
      </c>
      <c r="AG9" s="37">
        <f>IF($C9="","",VLOOKUP($C9,CTBat!$G$10:$BR$203,AG$4,FALSE))</f>
        <v>3</v>
      </c>
      <c r="AH9" s="37">
        <f>IF($C9="","",VLOOKUP($C9,CTBat!$G$10:$BR$203,AH$4,FALSE))</f>
        <v>2</v>
      </c>
      <c r="AI9" s="58">
        <f>IF($C9="","",VLOOKUP($C9,CTBat!$G$10:$BR$203,AI$4,FALSE))</f>
        <v>4</v>
      </c>
      <c r="AJ9" s="38">
        <f>IF($C9="","",VLOOKUP($C9,CTBat!$G$10:$BR$203,AJ$4,FALSE))</f>
        <v>6</v>
      </c>
      <c r="AK9" s="67">
        <f t="shared" si="13"/>
        <v>3.0416666666666665</v>
      </c>
      <c r="AL9" s="53">
        <f t="shared" si="14"/>
        <v>0</v>
      </c>
      <c r="AM9" s="275">
        <f t="shared" si="15"/>
        <v>0</v>
      </c>
      <c r="AN9" s="275">
        <f t="shared" si="16"/>
        <v>0</v>
      </c>
      <c r="AO9" s="275">
        <f t="shared" si="17"/>
        <v>0</v>
      </c>
      <c r="AP9" s="275">
        <f t="shared" si="18"/>
        <v>0</v>
      </c>
      <c r="AQ9" s="275">
        <f t="shared" si="19"/>
        <v>0</v>
      </c>
      <c r="AR9" s="275">
        <f t="shared" si="20"/>
        <v>0</v>
      </c>
      <c r="AS9" s="275">
        <f t="shared" si="21"/>
        <v>0</v>
      </c>
      <c r="AT9" s="276">
        <f t="shared" si="22"/>
        <v>0</v>
      </c>
      <c r="AU9" s="58">
        <f>IF($C9="","",VLOOKUP($C9,CTBat!$G$10:$BR$203,AU$4,FALSE))</f>
        <v>5</v>
      </c>
      <c r="AV9" s="37">
        <f>IF($C9="","",VLOOKUP($C9,CTBat!$G$10:$BR$203,AV$4,FALSE))</f>
        <v>3</v>
      </c>
      <c r="AW9" s="37">
        <f>IF($C9="","",VLOOKUP($C9,CTBat!$G$10:$BR$203,AW$4,FALSE))</f>
        <v>5</v>
      </c>
      <c r="AX9" s="37">
        <f>IF($C9="","",VLOOKUP($C9,CTBat!$G$10:$BR$203,AX$4,FALSE))</f>
        <v>3</v>
      </c>
      <c r="AY9" s="38">
        <f>IF($C9="","",VLOOKUP($C9,CTBat!$G$10:$BR$203,AY$4,FALSE))</f>
        <v>3</v>
      </c>
      <c r="AZ9" s="67">
        <f t="shared" si="23"/>
        <v>4.2222222222222223</v>
      </c>
    </row>
    <row r="10" spans="1:52">
      <c r="A10">
        <v>5</v>
      </c>
      <c r="B10" s="36" t="s">
        <v>18</v>
      </c>
      <c r="C10" s="65" t="s">
        <v>466</v>
      </c>
      <c r="D10" s="37">
        <f>IF($C10="","",VLOOKUP($C10,CTBat!$G$10:$BR$203,D$4,FALSE))</f>
        <v>22</v>
      </c>
      <c r="E10" s="37" t="str">
        <f>IF($C10="","",VLOOKUP($C10,CTBat!$G$10:$BR$203,E$4,FALSE))</f>
        <v>R</v>
      </c>
      <c r="F10" s="53">
        <f t="shared" si="3"/>
        <v>1</v>
      </c>
      <c r="G10" s="275">
        <f t="shared" si="4"/>
        <v>1</v>
      </c>
      <c r="H10" s="275">
        <f t="shared" si="5"/>
        <v>0</v>
      </c>
      <c r="I10" s="275">
        <f t="shared" si="0"/>
        <v>0</v>
      </c>
      <c r="J10" s="58">
        <f>IF($C10="","",VLOOKUP($C10,CTBat!$G$10:$BR$203,J$4,FALSE))</f>
        <v>1</v>
      </c>
      <c r="K10" s="37">
        <f>IF($C10="","",VLOOKUP($C10,CTBat!$G$10:$BR$203,K$4,FALSE))</f>
        <v>2</v>
      </c>
      <c r="L10" s="38">
        <f>IF($C10="","",VLOOKUP($C10,CTBat!$G$10:$BR$203,L$4,FALSE))</f>
        <v>3</v>
      </c>
      <c r="M10" s="37" t="str">
        <f>IF($C10="","",VLOOKUP($C10,CTBat!$G$10:$BR$203,M$4,FALSE))</f>
        <v>-</v>
      </c>
      <c r="N10" s="37">
        <f>IF($C10="","",VLOOKUP($C10,CTBat!$G$10:$BR$203,N$4,FALSE))</f>
        <v>3</v>
      </c>
      <c r="O10" s="37" t="str">
        <f>IF($C10="","",VLOOKUP($C10,CTBat!$G$10:$BR$203,O$4,FALSE))</f>
        <v>-</v>
      </c>
      <c r="P10" s="37" t="str">
        <f>IF($C10="","",VLOOKUP($C10,CTBat!$G$10:$BR$203,P$4,FALSE))</f>
        <v>-</v>
      </c>
      <c r="Q10" s="37" t="str">
        <f>IF($C10="","",VLOOKUP($C10,CTBat!$G$10:$BR$203,Q$4,FALSE))</f>
        <v>-</v>
      </c>
      <c r="R10" s="37" t="str">
        <f>IF($C10="","",VLOOKUP($C10,CTBat!$G$10:$BR$203,R$4,FALSE))</f>
        <v>-</v>
      </c>
      <c r="S10" s="37" t="str">
        <f>IF($C10="","",VLOOKUP($C10,CTBat!$G$10:$BR$203,S$4,FALSE))</f>
        <v>-</v>
      </c>
      <c r="T10" s="38" t="str">
        <f>IF($C10="","",VLOOKUP($C10,CTBat!$G$10:$BR$203,T$4,FALSE))</f>
        <v>-</v>
      </c>
      <c r="U10" s="53">
        <f t="shared" si="1"/>
        <v>0</v>
      </c>
      <c r="V10" s="275">
        <f t="shared" si="2"/>
        <v>0</v>
      </c>
      <c r="W10" s="275">
        <f t="shared" si="6"/>
        <v>0</v>
      </c>
      <c r="X10" s="275">
        <f t="shared" si="7"/>
        <v>0</v>
      </c>
      <c r="Y10" s="275">
        <f t="shared" si="8"/>
        <v>0</v>
      </c>
      <c r="Z10" s="275">
        <f t="shared" si="9"/>
        <v>0</v>
      </c>
      <c r="AA10" s="275">
        <f t="shared" si="10"/>
        <v>0</v>
      </c>
      <c r="AB10" s="275">
        <f t="shared" si="11"/>
        <v>0</v>
      </c>
      <c r="AC10" s="276">
        <f t="shared" si="12"/>
        <v>0</v>
      </c>
      <c r="AD10" s="37">
        <f>IF($C10="","",VLOOKUP($C10,CTBat!$G$10:$BR$203,AD$4,FALSE))</f>
        <v>5</v>
      </c>
      <c r="AE10" s="37">
        <f>IF($C10="","",VLOOKUP($C10,CTBat!$G$10:$BR$203,AE$4,FALSE))</f>
        <v>5</v>
      </c>
      <c r="AF10" s="37">
        <f>IF($C10="","",VLOOKUP($C10,CTBat!$G$10:$BR$203,AF$4,FALSE))</f>
        <v>3</v>
      </c>
      <c r="AG10" s="37">
        <f>IF($C10="","",VLOOKUP($C10,CTBat!$G$10:$BR$203,AG$4,FALSE))</f>
        <v>3</v>
      </c>
      <c r="AH10" s="37">
        <f>IF($C10="","",VLOOKUP($C10,CTBat!$G$10:$BR$203,AH$4,FALSE))</f>
        <v>3</v>
      </c>
      <c r="AI10" s="58">
        <f>IF($C10="","",VLOOKUP($C10,CTBat!$G$10:$BR$203,AI$4,FALSE))</f>
        <v>2</v>
      </c>
      <c r="AJ10" s="38">
        <f>IF($C10="","",VLOOKUP($C10,CTBat!$G$10:$BR$203,AJ$4,FALSE))</f>
        <v>2</v>
      </c>
      <c r="AK10" s="67">
        <f t="shared" si="13"/>
        <v>3.9722222222222223</v>
      </c>
      <c r="AL10" s="53">
        <f t="shared" si="14"/>
        <v>0</v>
      </c>
      <c r="AM10" s="275">
        <f t="shared" si="15"/>
        <v>0</v>
      </c>
      <c r="AN10" s="275">
        <f t="shared" si="16"/>
        <v>0</v>
      </c>
      <c r="AO10" s="275">
        <f t="shared" si="17"/>
        <v>0</v>
      </c>
      <c r="AP10" s="275">
        <f t="shared" si="18"/>
        <v>0</v>
      </c>
      <c r="AQ10" s="275">
        <f t="shared" si="19"/>
        <v>0</v>
      </c>
      <c r="AR10" s="275">
        <f t="shared" si="20"/>
        <v>0</v>
      </c>
      <c r="AS10" s="275">
        <f t="shared" si="21"/>
        <v>0</v>
      </c>
      <c r="AT10" s="276">
        <f t="shared" si="22"/>
        <v>0</v>
      </c>
      <c r="AU10" s="58">
        <f>IF($C10="","",VLOOKUP($C10,CTBat!$G$10:$BR$203,AU$4,FALSE))</f>
        <v>6</v>
      </c>
      <c r="AV10" s="37">
        <f>IF($C10="","",VLOOKUP($C10,CTBat!$G$10:$BR$203,AV$4,FALSE))</f>
        <v>6</v>
      </c>
      <c r="AW10" s="37">
        <f>IF($C10="","",VLOOKUP($C10,CTBat!$G$10:$BR$203,AW$4,FALSE))</f>
        <v>6</v>
      </c>
      <c r="AX10" s="37">
        <f>IF($C10="","",VLOOKUP($C10,CTBat!$G$10:$BR$203,AX$4,FALSE))</f>
        <v>4</v>
      </c>
      <c r="AY10" s="38">
        <f>IF($C10="","",VLOOKUP($C10,CTBat!$G$10:$BR$203,AY$4,FALSE))</f>
        <v>5</v>
      </c>
      <c r="AZ10" s="67">
        <f t="shared" si="23"/>
        <v>5.541666666666667</v>
      </c>
    </row>
    <row r="11" spans="1:52">
      <c r="A11">
        <v>6</v>
      </c>
      <c r="B11" s="36" t="s">
        <v>101</v>
      </c>
      <c r="C11" s="65"/>
      <c r="D11" s="37" t="str">
        <f>IF($C11="","",VLOOKUP($C11,CTBat!$G$10:$BR$203,D$4,FALSE))</f>
        <v/>
      </c>
      <c r="E11" s="37" t="str">
        <f>IF($C11="","",VLOOKUP($C11,CTBat!$G$10:$BR$203,E$4,FALSE))</f>
        <v/>
      </c>
      <c r="F11" s="53" t="str">
        <f t="shared" si="3"/>
        <v/>
      </c>
      <c r="G11" s="275" t="str">
        <f t="shared" si="4"/>
        <v/>
      </c>
      <c r="H11" s="275" t="str">
        <f t="shared" si="5"/>
        <v/>
      </c>
      <c r="I11" s="275" t="str">
        <f>IF($C11="","",IF(AND(S11&gt;4,S11&lt;&gt;"-"),1,0))</f>
        <v/>
      </c>
      <c r="J11" s="58" t="str">
        <f>IF($C11="","",VLOOKUP($C11,CTBat!$G$10:$BR$203,J$4,FALSE))</f>
        <v/>
      </c>
      <c r="K11" s="37" t="str">
        <f>IF($C11="","",VLOOKUP($C11,CTBat!$G$10:$BR$203,K$4,FALSE))</f>
        <v/>
      </c>
      <c r="L11" s="38" t="str">
        <f>IF($C11="","",VLOOKUP($C11,CTBat!$G$10:$BR$203,L$4,FALSE))</f>
        <v/>
      </c>
      <c r="M11" s="37" t="str">
        <f>IF($C11="","",VLOOKUP($C11,CTBat!$G$10:$BR$203,M$4,FALSE))</f>
        <v/>
      </c>
      <c r="N11" s="37" t="str">
        <f>IF($C11="","",VLOOKUP($C11,CTBat!$G$10:$BR$203,N$4,FALSE))</f>
        <v/>
      </c>
      <c r="O11" s="37" t="str">
        <f>IF($C11="","",VLOOKUP($C11,CTBat!$G$10:$BR$203,O$4,FALSE))</f>
        <v/>
      </c>
      <c r="P11" s="37" t="str">
        <f>IF($C11="","",VLOOKUP($C11,CTBat!$G$10:$BR$203,P$4,FALSE))</f>
        <v/>
      </c>
      <c r="Q11" s="37" t="str">
        <f>IF($C11="","",VLOOKUP($C11,CTBat!$G$10:$BR$203,Q$4,FALSE))</f>
        <v/>
      </c>
      <c r="R11" s="37" t="str">
        <f>IF($C11="","",VLOOKUP($C11,CTBat!$G$10:$BR$203,R$4,FALSE))</f>
        <v/>
      </c>
      <c r="S11" s="37" t="str">
        <f>IF($C11="","",VLOOKUP($C11,CTBat!$G$10:$BR$203,S$4,FALSE))</f>
        <v/>
      </c>
      <c r="T11" s="38" t="str">
        <f>IF($C11="","",VLOOKUP($C11,CTBat!$G$10:$BR$203,T$4,FALSE))</f>
        <v/>
      </c>
      <c r="U11" s="53" t="str">
        <f t="shared" si="1"/>
        <v/>
      </c>
      <c r="V11" s="275" t="str">
        <f t="shared" si="2"/>
        <v/>
      </c>
      <c r="W11" s="275" t="str">
        <f t="shared" si="6"/>
        <v/>
      </c>
      <c r="X11" s="275" t="str">
        <f t="shared" si="7"/>
        <v/>
      </c>
      <c r="Y11" s="275" t="str">
        <f t="shared" si="8"/>
        <v/>
      </c>
      <c r="Z11" s="275" t="str">
        <f t="shared" si="9"/>
        <v/>
      </c>
      <c r="AA11" s="275" t="str">
        <f t="shared" si="10"/>
        <v/>
      </c>
      <c r="AB11" s="275" t="str">
        <f t="shared" si="11"/>
        <v/>
      </c>
      <c r="AC11" s="276" t="str">
        <f t="shared" si="12"/>
        <v/>
      </c>
      <c r="AD11" s="37" t="str">
        <f>IF($C11="","",VLOOKUP($C11,CTBat!$G$10:$BR$203,AD$4,FALSE))</f>
        <v/>
      </c>
      <c r="AE11" s="37" t="str">
        <f>IF($C11="","",VLOOKUP($C11,CTBat!$G$10:$BR$203,AE$4,FALSE))</f>
        <v/>
      </c>
      <c r="AF11" s="37" t="str">
        <f>IF($C11="","",VLOOKUP($C11,CTBat!$G$10:$BR$203,AF$4,FALSE))</f>
        <v/>
      </c>
      <c r="AG11" s="37" t="str">
        <f>IF($C11="","",VLOOKUP($C11,CTBat!$G$10:$BR$203,AG$4,FALSE))</f>
        <v/>
      </c>
      <c r="AH11" s="37" t="str">
        <f>IF($C11="","",VLOOKUP($C11,CTBat!$G$10:$BR$203,AH$4,FALSE))</f>
        <v/>
      </c>
      <c r="AI11" s="58" t="str">
        <f>IF($C11="","",VLOOKUP($C11,CTBat!$G$10:$BR$203,AI$4,FALSE))</f>
        <v/>
      </c>
      <c r="AJ11" s="38" t="str">
        <f>IF($C11="","",VLOOKUP($C11,CTBat!$G$10:$BR$203,AJ$4,FALSE))</f>
        <v/>
      </c>
      <c r="AK11" s="67" t="str">
        <f t="shared" si="13"/>
        <v/>
      </c>
      <c r="AL11" s="53" t="str">
        <f t="shared" si="14"/>
        <v/>
      </c>
      <c r="AM11" s="275" t="str">
        <f t="shared" si="15"/>
        <v/>
      </c>
      <c r="AN11" s="275" t="str">
        <f t="shared" si="16"/>
        <v/>
      </c>
      <c r="AO11" s="275" t="str">
        <f t="shared" si="17"/>
        <v/>
      </c>
      <c r="AP11" s="275" t="str">
        <f t="shared" si="18"/>
        <v/>
      </c>
      <c r="AQ11" s="275" t="str">
        <f t="shared" si="19"/>
        <v/>
      </c>
      <c r="AR11" s="275" t="str">
        <f t="shared" si="20"/>
        <v/>
      </c>
      <c r="AS11" s="275" t="str">
        <f t="shared" si="21"/>
        <v/>
      </c>
      <c r="AT11" s="276" t="str">
        <f t="shared" si="22"/>
        <v/>
      </c>
      <c r="AU11" s="58" t="str">
        <f>IF($C11="","",VLOOKUP($C11,CTBat!$G$10:$BR$203,AU$4,FALSE))</f>
        <v/>
      </c>
      <c r="AV11" s="37" t="str">
        <f>IF($C11="","",VLOOKUP($C11,CTBat!$G$10:$BR$203,AV$4,FALSE))</f>
        <v/>
      </c>
      <c r="AW11" s="37" t="str">
        <f>IF($C11="","",VLOOKUP($C11,CTBat!$G$10:$BR$203,AW$4,FALSE))</f>
        <v/>
      </c>
      <c r="AX11" s="37" t="str">
        <f>IF($C11="","",VLOOKUP($C11,CTBat!$G$10:$BR$203,AX$4,FALSE))</f>
        <v/>
      </c>
      <c r="AY11" s="38" t="str">
        <f>IF($C11="","",VLOOKUP($C11,CTBat!$G$10:$BR$203,AY$4,FALSE))</f>
        <v/>
      </c>
      <c r="AZ11" s="67" t="str">
        <f t="shared" si="23"/>
        <v/>
      </c>
    </row>
    <row r="12" spans="1:52">
      <c r="A12">
        <v>7</v>
      </c>
      <c r="B12" s="36" t="s">
        <v>101</v>
      </c>
      <c r="C12" s="65"/>
      <c r="D12" s="37" t="str">
        <f>IF($C12="","",VLOOKUP($C12,CTBat!$G$10:$BR$203,D$4,FALSE))</f>
        <v/>
      </c>
      <c r="E12" s="37" t="str">
        <f>IF($C12="","",VLOOKUP($C12,CTBat!$G$10:$BR$203,E$4,FALSE))</f>
        <v/>
      </c>
      <c r="F12" s="53" t="str">
        <f t="shared" si="3"/>
        <v/>
      </c>
      <c r="G12" s="275" t="str">
        <f t="shared" si="4"/>
        <v/>
      </c>
      <c r="H12" s="275" t="str">
        <f t="shared" si="5"/>
        <v/>
      </c>
      <c r="I12" s="275" t="str">
        <f t="shared" ref="I12:I17" si="24">IF($C12="","",IF(AND(S12&gt;4,S12&lt;&gt;"-"),1,0))</f>
        <v/>
      </c>
      <c r="J12" s="58" t="str">
        <f>IF($C12="","",VLOOKUP($C12,CTBat!$G$10:$BR$203,J$4,FALSE))</f>
        <v/>
      </c>
      <c r="K12" s="37" t="str">
        <f>IF($C12="","",VLOOKUP($C12,CTBat!$G$10:$BR$203,K$4,FALSE))</f>
        <v/>
      </c>
      <c r="L12" s="38" t="str">
        <f>IF($C12="","",VLOOKUP($C12,CTBat!$G$10:$BR$203,L$4,FALSE))</f>
        <v/>
      </c>
      <c r="M12" s="37" t="str">
        <f>IF($C12="","",VLOOKUP($C12,CTBat!$G$10:$BR$203,M$4,FALSE))</f>
        <v/>
      </c>
      <c r="N12" s="37" t="str">
        <f>IF($C12="","",VLOOKUP($C12,CTBat!$G$10:$BR$203,N$4,FALSE))</f>
        <v/>
      </c>
      <c r="O12" s="37" t="str">
        <f>IF($C12="","",VLOOKUP($C12,CTBat!$G$10:$BR$203,O$4,FALSE))</f>
        <v/>
      </c>
      <c r="P12" s="37" t="str">
        <f>IF($C12="","",VLOOKUP($C12,CTBat!$G$10:$BR$203,P$4,FALSE))</f>
        <v/>
      </c>
      <c r="Q12" s="37" t="str">
        <f>IF($C12="","",VLOOKUP($C12,CTBat!$G$10:$BR$203,Q$4,FALSE))</f>
        <v/>
      </c>
      <c r="R12" s="37" t="str">
        <f>IF($C12="","",VLOOKUP($C12,CTBat!$G$10:$BR$203,R$4,FALSE))</f>
        <v/>
      </c>
      <c r="S12" s="37" t="str">
        <f>IF($C12="","",VLOOKUP($C12,CTBat!$G$10:$BR$203,S$4,FALSE))</f>
        <v/>
      </c>
      <c r="T12" s="38" t="str">
        <f>IF($C12="","",VLOOKUP($C12,CTBat!$G$10:$BR$203,T$4,FALSE))</f>
        <v/>
      </c>
      <c r="U12" s="53" t="str">
        <f t="shared" si="1"/>
        <v/>
      </c>
      <c r="V12" s="275" t="str">
        <f t="shared" si="2"/>
        <v/>
      </c>
      <c r="W12" s="275" t="str">
        <f t="shared" si="6"/>
        <v/>
      </c>
      <c r="X12" s="275" t="str">
        <f t="shared" si="7"/>
        <v/>
      </c>
      <c r="Y12" s="275" t="str">
        <f t="shared" si="8"/>
        <v/>
      </c>
      <c r="Z12" s="275" t="str">
        <f t="shared" si="9"/>
        <v/>
      </c>
      <c r="AA12" s="275" t="str">
        <f t="shared" si="10"/>
        <v/>
      </c>
      <c r="AB12" s="275" t="str">
        <f t="shared" si="11"/>
        <v/>
      </c>
      <c r="AC12" s="276" t="str">
        <f t="shared" si="12"/>
        <v/>
      </c>
      <c r="AD12" s="37" t="str">
        <f>IF($C12="","",VLOOKUP($C12,CTBat!$G$10:$BR$203,AD$4,FALSE))</f>
        <v/>
      </c>
      <c r="AE12" s="37" t="str">
        <f>IF($C12="","",VLOOKUP($C12,CTBat!$G$10:$BR$203,AE$4,FALSE))</f>
        <v/>
      </c>
      <c r="AF12" s="37" t="str">
        <f>IF($C12="","",VLOOKUP($C12,CTBat!$G$10:$BR$203,AF$4,FALSE))</f>
        <v/>
      </c>
      <c r="AG12" s="37" t="str">
        <f>IF($C12="","",VLOOKUP($C12,CTBat!$G$10:$BR$203,AG$4,FALSE))</f>
        <v/>
      </c>
      <c r="AH12" s="37" t="str">
        <f>IF($C12="","",VLOOKUP($C12,CTBat!$G$10:$BR$203,AH$4,FALSE))</f>
        <v/>
      </c>
      <c r="AI12" s="58" t="str">
        <f>IF($C12="","",VLOOKUP($C12,CTBat!$G$10:$BR$203,AI$4,FALSE))</f>
        <v/>
      </c>
      <c r="AJ12" s="38" t="str">
        <f>IF($C12="","",VLOOKUP($C12,CTBat!$G$10:$BR$203,AJ$4,FALSE))</f>
        <v/>
      </c>
      <c r="AK12" s="67" t="str">
        <f t="shared" si="13"/>
        <v/>
      </c>
      <c r="AL12" s="53" t="str">
        <f t="shared" si="14"/>
        <v/>
      </c>
      <c r="AM12" s="275" t="str">
        <f t="shared" si="15"/>
        <v/>
      </c>
      <c r="AN12" s="275" t="str">
        <f t="shared" si="16"/>
        <v/>
      </c>
      <c r="AO12" s="275" t="str">
        <f t="shared" si="17"/>
        <v/>
      </c>
      <c r="AP12" s="275" t="str">
        <f t="shared" si="18"/>
        <v/>
      </c>
      <c r="AQ12" s="275" t="str">
        <f t="shared" si="19"/>
        <v/>
      </c>
      <c r="AR12" s="275" t="str">
        <f t="shared" si="20"/>
        <v/>
      </c>
      <c r="AS12" s="275" t="str">
        <f t="shared" si="21"/>
        <v/>
      </c>
      <c r="AT12" s="276" t="str">
        <f t="shared" si="22"/>
        <v/>
      </c>
      <c r="AU12" s="58" t="str">
        <f>IF($C12="","",VLOOKUP($C12,CTBat!$G$10:$BR$203,AU$4,FALSE))</f>
        <v/>
      </c>
      <c r="AV12" s="37" t="str">
        <f>IF($C12="","",VLOOKUP($C12,CTBat!$G$10:$BR$203,AV$4,FALSE))</f>
        <v/>
      </c>
      <c r="AW12" s="37" t="str">
        <f>IF($C12="","",VLOOKUP($C12,CTBat!$G$10:$BR$203,AW$4,FALSE))</f>
        <v/>
      </c>
      <c r="AX12" s="37" t="str">
        <f>IF($C12="","",VLOOKUP($C12,CTBat!$G$10:$BR$203,AX$4,FALSE))</f>
        <v/>
      </c>
      <c r="AY12" s="38" t="str">
        <f>IF($C12="","",VLOOKUP($C12,CTBat!$G$10:$BR$203,AY$4,FALSE))</f>
        <v/>
      </c>
      <c r="AZ12" s="67" t="str">
        <f t="shared" si="23"/>
        <v/>
      </c>
    </row>
    <row r="13" spans="1:52">
      <c r="A13">
        <v>8</v>
      </c>
      <c r="B13" s="36" t="s">
        <v>101</v>
      </c>
      <c r="C13" s="65"/>
      <c r="D13" s="37" t="str">
        <f>IF($C13="","",VLOOKUP($C13,CTBat!$G$10:$BR$203,D$4,FALSE))</f>
        <v/>
      </c>
      <c r="E13" s="37" t="str">
        <f>IF($C13="","",VLOOKUP($C13,CTBat!$G$10:$BR$203,E$4,FALSE))</f>
        <v/>
      </c>
      <c r="F13" s="53" t="str">
        <f t="shared" si="3"/>
        <v/>
      </c>
      <c r="G13" s="275" t="str">
        <f t="shared" si="4"/>
        <v/>
      </c>
      <c r="H13" s="275" t="str">
        <f t="shared" si="5"/>
        <v/>
      </c>
      <c r="I13" s="275" t="str">
        <f t="shared" si="24"/>
        <v/>
      </c>
      <c r="J13" s="58" t="str">
        <f>IF($C13="","",VLOOKUP($C13,CTBat!$G$10:$BR$203,J$4,FALSE))</f>
        <v/>
      </c>
      <c r="K13" s="37" t="str">
        <f>IF($C13="","",VLOOKUP($C13,CTBat!$G$10:$BR$203,K$4,FALSE))</f>
        <v/>
      </c>
      <c r="L13" s="38" t="str">
        <f>IF($C13="","",VLOOKUP($C13,CTBat!$G$10:$BR$203,L$4,FALSE))</f>
        <v/>
      </c>
      <c r="M13" s="37" t="str">
        <f>IF($C13="","",VLOOKUP($C13,CTBat!$G$10:$BR$203,M$4,FALSE))</f>
        <v/>
      </c>
      <c r="N13" s="37" t="str">
        <f>IF($C13="","",VLOOKUP($C13,CTBat!$G$10:$BR$203,N$4,FALSE))</f>
        <v/>
      </c>
      <c r="O13" s="37" t="str">
        <f>IF($C13="","",VLOOKUP($C13,CTBat!$G$10:$BR$203,O$4,FALSE))</f>
        <v/>
      </c>
      <c r="P13" s="37" t="str">
        <f>IF($C13="","",VLOOKUP($C13,CTBat!$G$10:$BR$203,P$4,FALSE))</f>
        <v/>
      </c>
      <c r="Q13" s="37" t="str">
        <f>IF($C13="","",VLOOKUP($C13,CTBat!$G$10:$BR$203,Q$4,FALSE))</f>
        <v/>
      </c>
      <c r="R13" s="37" t="str">
        <f>IF($C13="","",VLOOKUP($C13,CTBat!$G$10:$BR$203,R$4,FALSE))</f>
        <v/>
      </c>
      <c r="S13" s="37" t="str">
        <f>IF($C13="","",VLOOKUP($C13,CTBat!$G$10:$BR$203,S$4,FALSE))</f>
        <v/>
      </c>
      <c r="T13" s="38" t="str">
        <f>IF($C13="","",VLOOKUP($C13,CTBat!$G$10:$BR$203,T$4,FALSE))</f>
        <v/>
      </c>
      <c r="U13" s="53" t="str">
        <f t="shared" si="1"/>
        <v/>
      </c>
      <c r="V13" s="275" t="str">
        <f t="shared" si="2"/>
        <v/>
      </c>
      <c r="W13" s="275" t="str">
        <f t="shared" si="6"/>
        <v/>
      </c>
      <c r="X13" s="275" t="str">
        <f t="shared" si="7"/>
        <v/>
      </c>
      <c r="Y13" s="275" t="str">
        <f t="shared" si="8"/>
        <v/>
      </c>
      <c r="Z13" s="275" t="str">
        <f t="shared" si="9"/>
        <v/>
      </c>
      <c r="AA13" s="275" t="str">
        <f t="shared" si="10"/>
        <v/>
      </c>
      <c r="AB13" s="275" t="str">
        <f t="shared" si="11"/>
        <v/>
      </c>
      <c r="AC13" s="276" t="str">
        <f t="shared" si="12"/>
        <v/>
      </c>
      <c r="AD13" s="37" t="str">
        <f>IF($C13="","",VLOOKUP($C13,CTBat!$G$10:$BR$203,AD$4,FALSE))</f>
        <v/>
      </c>
      <c r="AE13" s="37" t="str">
        <f>IF($C13="","",VLOOKUP($C13,CTBat!$G$10:$BR$203,AE$4,FALSE))</f>
        <v/>
      </c>
      <c r="AF13" s="37" t="str">
        <f>IF($C13="","",VLOOKUP($C13,CTBat!$G$10:$BR$203,AF$4,FALSE))</f>
        <v/>
      </c>
      <c r="AG13" s="37" t="str">
        <f>IF($C13="","",VLOOKUP($C13,CTBat!$G$10:$BR$203,AG$4,FALSE))</f>
        <v/>
      </c>
      <c r="AH13" s="37" t="str">
        <f>IF($C13="","",VLOOKUP($C13,CTBat!$G$10:$BR$203,AH$4,FALSE))</f>
        <v/>
      </c>
      <c r="AI13" s="58" t="str">
        <f>IF($C13="","",VLOOKUP($C13,CTBat!$G$10:$BR$203,AI$4,FALSE))</f>
        <v/>
      </c>
      <c r="AJ13" s="38" t="str">
        <f>IF($C13="","",VLOOKUP($C13,CTBat!$G$10:$BR$203,AJ$4,FALSE))</f>
        <v/>
      </c>
      <c r="AK13" s="67" t="str">
        <f t="shared" si="13"/>
        <v/>
      </c>
      <c r="AL13" s="53" t="str">
        <f t="shared" si="14"/>
        <v/>
      </c>
      <c r="AM13" s="275" t="str">
        <f t="shared" si="15"/>
        <v/>
      </c>
      <c r="AN13" s="275" t="str">
        <f t="shared" si="16"/>
        <v/>
      </c>
      <c r="AO13" s="275" t="str">
        <f t="shared" si="17"/>
        <v/>
      </c>
      <c r="AP13" s="275" t="str">
        <f t="shared" si="18"/>
        <v/>
      </c>
      <c r="AQ13" s="275" t="str">
        <f t="shared" si="19"/>
        <v/>
      </c>
      <c r="AR13" s="275" t="str">
        <f t="shared" si="20"/>
        <v/>
      </c>
      <c r="AS13" s="275" t="str">
        <f t="shared" si="21"/>
        <v/>
      </c>
      <c r="AT13" s="276" t="str">
        <f t="shared" si="22"/>
        <v/>
      </c>
      <c r="AU13" s="58" t="str">
        <f>IF($C13="","",VLOOKUP($C13,CTBat!$G$10:$BR$203,AU$4,FALSE))</f>
        <v/>
      </c>
      <c r="AV13" s="37" t="str">
        <f>IF($C13="","",VLOOKUP($C13,CTBat!$G$10:$BR$203,AV$4,FALSE))</f>
        <v/>
      </c>
      <c r="AW13" s="37" t="str">
        <f>IF($C13="","",VLOOKUP($C13,CTBat!$G$10:$BR$203,AW$4,FALSE))</f>
        <v/>
      </c>
      <c r="AX13" s="37" t="str">
        <f>IF($C13="","",VLOOKUP($C13,CTBat!$G$10:$BR$203,AX$4,FALSE))</f>
        <v/>
      </c>
      <c r="AY13" s="38" t="str">
        <f>IF($C13="","",VLOOKUP($C13,CTBat!$G$10:$BR$203,AY$4,FALSE))</f>
        <v/>
      </c>
      <c r="AZ13" s="67" t="str">
        <f t="shared" si="23"/>
        <v/>
      </c>
    </row>
    <row r="14" spans="1:52">
      <c r="A14">
        <v>9</v>
      </c>
      <c r="B14" s="36" t="s">
        <v>101</v>
      </c>
      <c r="C14" s="65"/>
      <c r="D14" s="37" t="str">
        <f>IF($C14="","",VLOOKUP($C14,CTBat!$G$10:$BR$203,D$4,FALSE))</f>
        <v/>
      </c>
      <c r="E14" s="37" t="str">
        <f>IF($C14="","",VLOOKUP($C14,CTBat!$G$10:$BR$203,E$4,FALSE))</f>
        <v/>
      </c>
      <c r="F14" s="53" t="str">
        <f t="shared" si="3"/>
        <v/>
      </c>
      <c r="G14" s="275" t="str">
        <f t="shared" si="4"/>
        <v/>
      </c>
      <c r="H14" s="275" t="str">
        <f t="shared" si="5"/>
        <v/>
      </c>
      <c r="I14" s="275" t="str">
        <f t="shared" si="24"/>
        <v/>
      </c>
      <c r="J14" s="58" t="str">
        <f>IF($C14="","",VLOOKUP($C14,CTBat!$G$10:$BR$203,J$4,FALSE))</f>
        <v/>
      </c>
      <c r="K14" s="37" t="str">
        <f>IF($C14="","",VLOOKUP($C14,CTBat!$G$10:$BR$203,K$4,FALSE))</f>
        <v/>
      </c>
      <c r="L14" s="38" t="str">
        <f>IF($C14="","",VLOOKUP($C14,CTBat!$G$10:$BR$203,L$4,FALSE))</f>
        <v/>
      </c>
      <c r="M14" s="37" t="str">
        <f>IF($C14="","",VLOOKUP($C14,CTBat!$G$10:$BR$203,M$4,FALSE))</f>
        <v/>
      </c>
      <c r="N14" s="37" t="str">
        <f>IF($C14="","",VLOOKUP($C14,CTBat!$G$10:$BR$203,N$4,FALSE))</f>
        <v/>
      </c>
      <c r="O14" s="37" t="str">
        <f>IF($C14="","",VLOOKUP($C14,CTBat!$G$10:$BR$203,O$4,FALSE))</f>
        <v/>
      </c>
      <c r="P14" s="37" t="str">
        <f>IF($C14="","",VLOOKUP($C14,CTBat!$G$10:$BR$203,P$4,FALSE))</f>
        <v/>
      </c>
      <c r="Q14" s="37" t="str">
        <f>IF($C14="","",VLOOKUP($C14,CTBat!$G$10:$BR$203,Q$4,FALSE))</f>
        <v/>
      </c>
      <c r="R14" s="37" t="str">
        <f>IF($C14="","",VLOOKUP($C14,CTBat!$G$10:$BR$203,R$4,FALSE))</f>
        <v/>
      </c>
      <c r="S14" s="37" t="str">
        <f>IF($C14="","",VLOOKUP($C14,CTBat!$G$10:$BR$203,S$4,FALSE))</f>
        <v/>
      </c>
      <c r="T14" s="38" t="str">
        <f>IF($C14="","",VLOOKUP($C14,CTBat!$G$10:$BR$203,T$4,FALSE))</f>
        <v/>
      </c>
      <c r="U14" s="53" t="str">
        <f t="shared" si="1"/>
        <v/>
      </c>
      <c r="V14" s="275" t="str">
        <f t="shared" si="2"/>
        <v/>
      </c>
      <c r="W14" s="275" t="str">
        <f t="shared" si="6"/>
        <v/>
      </c>
      <c r="X14" s="275" t="str">
        <f t="shared" si="7"/>
        <v/>
      </c>
      <c r="Y14" s="275" t="str">
        <f t="shared" si="8"/>
        <v/>
      </c>
      <c r="Z14" s="275" t="str">
        <f t="shared" si="9"/>
        <v/>
      </c>
      <c r="AA14" s="275" t="str">
        <f t="shared" si="10"/>
        <v/>
      </c>
      <c r="AB14" s="275" t="str">
        <f t="shared" si="11"/>
        <v/>
      </c>
      <c r="AC14" s="276" t="str">
        <f t="shared" si="12"/>
        <v/>
      </c>
      <c r="AD14" s="37" t="str">
        <f>IF($C14="","",VLOOKUP($C14,CTBat!$G$10:$BR$203,AD$4,FALSE))</f>
        <v/>
      </c>
      <c r="AE14" s="37" t="str">
        <f>IF($C14="","",VLOOKUP($C14,CTBat!$G$10:$BR$203,AE$4,FALSE))</f>
        <v/>
      </c>
      <c r="AF14" s="37" t="str">
        <f>IF($C14="","",VLOOKUP($C14,CTBat!$G$10:$BR$203,AF$4,FALSE))</f>
        <v/>
      </c>
      <c r="AG14" s="37" t="str">
        <f>IF($C14="","",VLOOKUP($C14,CTBat!$G$10:$BR$203,AG$4,FALSE))</f>
        <v/>
      </c>
      <c r="AH14" s="37" t="str">
        <f>IF($C14="","",VLOOKUP($C14,CTBat!$G$10:$BR$203,AH$4,FALSE))</f>
        <v/>
      </c>
      <c r="AI14" s="58" t="str">
        <f>IF($C14="","",VLOOKUP($C14,CTBat!$G$10:$BR$203,AI$4,FALSE))</f>
        <v/>
      </c>
      <c r="AJ14" s="38" t="str">
        <f>IF($C14="","",VLOOKUP($C14,CTBat!$G$10:$BR$203,AJ$4,FALSE))</f>
        <v/>
      </c>
      <c r="AK14" s="67" t="str">
        <f t="shared" si="13"/>
        <v/>
      </c>
      <c r="AL14" s="53" t="str">
        <f t="shared" si="14"/>
        <v/>
      </c>
      <c r="AM14" s="275" t="str">
        <f t="shared" si="15"/>
        <v/>
      </c>
      <c r="AN14" s="275" t="str">
        <f t="shared" si="16"/>
        <v/>
      </c>
      <c r="AO14" s="275" t="str">
        <f t="shared" si="17"/>
        <v/>
      </c>
      <c r="AP14" s="275" t="str">
        <f t="shared" si="18"/>
        <v/>
      </c>
      <c r="AQ14" s="275" t="str">
        <f t="shared" si="19"/>
        <v/>
      </c>
      <c r="AR14" s="275" t="str">
        <f t="shared" si="20"/>
        <v/>
      </c>
      <c r="AS14" s="275" t="str">
        <f t="shared" si="21"/>
        <v/>
      </c>
      <c r="AT14" s="276" t="str">
        <f t="shared" si="22"/>
        <v/>
      </c>
      <c r="AU14" s="58" t="str">
        <f>IF($C14="","",VLOOKUP($C14,CTBat!$G$10:$BR$203,AU$4,FALSE))</f>
        <v/>
      </c>
      <c r="AV14" s="37" t="str">
        <f>IF($C14="","",VLOOKUP($C14,CTBat!$G$10:$BR$203,AV$4,FALSE))</f>
        <v/>
      </c>
      <c r="AW14" s="37" t="str">
        <f>IF($C14="","",VLOOKUP($C14,CTBat!$G$10:$BR$203,AW$4,FALSE))</f>
        <v/>
      </c>
      <c r="AX14" s="37" t="str">
        <f>IF($C14="","",VLOOKUP($C14,CTBat!$G$10:$BR$203,AX$4,FALSE))</f>
        <v/>
      </c>
      <c r="AY14" s="38" t="str">
        <f>IF($C14="","",VLOOKUP($C14,CTBat!$G$10:$BR$203,AY$4,FALSE))</f>
        <v/>
      </c>
      <c r="AZ14" s="67" t="str">
        <f t="shared" si="23"/>
        <v/>
      </c>
    </row>
    <row r="15" spans="1:52">
      <c r="A15">
        <v>9</v>
      </c>
      <c r="B15" s="36" t="s">
        <v>101</v>
      </c>
      <c r="C15" s="65"/>
      <c r="D15" s="37" t="str">
        <f>IF($C15="","",VLOOKUP($C15,CTBat!$G$10:$BR$203,D$4,FALSE))</f>
        <v/>
      </c>
      <c r="E15" s="37" t="str">
        <f>IF($C15="","",VLOOKUP($C15,CTBat!$G$10:$BR$203,E$4,FALSE))</f>
        <v/>
      </c>
      <c r="F15" s="53" t="str">
        <f t="shared" si="3"/>
        <v/>
      </c>
      <c r="G15" s="275" t="str">
        <f t="shared" si="4"/>
        <v/>
      </c>
      <c r="H15" s="275" t="str">
        <f t="shared" si="5"/>
        <v/>
      </c>
      <c r="I15" s="275" t="str">
        <f t="shared" si="24"/>
        <v/>
      </c>
      <c r="J15" s="58" t="str">
        <f>IF($C15="","",VLOOKUP($C15,CTBat!$G$10:$BR$203,J$4,FALSE))</f>
        <v/>
      </c>
      <c r="K15" s="37" t="str">
        <f>IF($C15="","",VLOOKUP($C15,CTBat!$G$10:$BR$203,K$4,FALSE))</f>
        <v/>
      </c>
      <c r="L15" s="38" t="str">
        <f>IF($C15="","",VLOOKUP($C15,CTBat!$G$10:$BR$203,L$4,FALSE))</f>
        <v/>
      </c>
      <c r="M15" s="37" t="str">
        <f>IF($C15="","",VLOOKUP($C15,CTBat!$G$10:$BR$203,M$4,FALSE))</f>
        <v/>
      </c>
      <c r="N15" s="37" t="str">
        <f>IF($C15="","",VLOOKUP($C15,CTBat!$G$10:$BR$203,N$4,FALSE))</f>
        <v/>
      </c>
      <c r="O15" s="37" t="str">
        <f>IF($C15="","",VLOOKUP($C15,CTBat!$G$10:$BR$203,O$4,FALSE))</f>
        <v/>
      </c>
      <c r="P15" s="37" t="str">
        <f>IF($C15="","",VLOOKUP($C15,CTBat!$G$10:$BR$203,P$4,FALSE))</f>
        <v/>
      </c>
      <c r="Q15" s="37" t="str">
        <f>IF($C15="","",VLOOKUP($C15,CTBat!$G$10:$BR$203,Q$4,FALSE))</f>
        <v/>
      </c>
      <c r="R15" s="37" t="str">
        <f>IF($C15="","",VLOOKUP($C15,CTBat!$G$10:$BR$203,R$4,FALSE))</f>
        <v/>
      </c>
      <c r="S15" s="37" t="str">
        <f>IF($C15="","",VLOOKUP($C15,CTBat!$G$10:$BR$203,S$4,FALSE))</f>
        <v/>
      </c>
      <c r="T15" s="38" t="str">
        <f>IF($C15="","",VLOOKUP($C15,CTBat!$G$10:$BR$203,T$4,FALSE))</f>
        <v/>
      </c>
      <c r="U15" s="53" t="str">
        <f t="shared" si="1"/>
        <v/>
      </c>
      <c r="V15" s="275" t="str">
        <f t="shared" si="2"/>
        <v/>
      </c>
      <c r="W15" s="275" t="str">
        <f t="shared" si="6"/>
        <v/>
      </c>
      <c r="X15" s="275" t="str">
        <f t="shared" si="7"/>
        <v/>
      </c>
      <c r="Y15" s="275" t="str">
        <f t="shared" si="8"/>
        <v/>
      </c>
      <c r="Z15" s="275" t="str">
        <f t="shared" si="9"/>
        <v/>
      </c>
      <c r="AA15" s="275" t="str">
        <f t="shared" si="10"/>
        <v/>
      </c>
      <c r="AB15" s="275" t="str">
        <f t="shared" si="11"/>
        <v/>
      </c>
      <c r="AC15" s="276" t="str">
        <f t="shared" si="12"/>
        <v/>
      </c>
      <c r="AD15" s="37" t="str">
        <f>IF($C15="","",VLOOKUP($C15,CTBat!$G$10:$BR$203,AD$4,FALSE))</f>
        <v/>
      </c>
      <c r="AE15" s="37" t="str">
        <f>IF($C15="","",VLOOKUP($C15,CTBat!$G$10:$BR$203,AE$4,FALSE))</f>
        <v/>
      </c>
      <c r="AF15" s="37" t="str">
        <f>IF($C15="","",VLOOKUP($C15,CTBat!$G$10:$BR$203,AF$4,FALSE))</f>
        <v/>
      </c>
      <c r="AG15" s="37" t="str">
        <f>IF($C15="","",VLOOKUP($C15,CTBat!$G$10:$BR$203,AG$4,FALSE))</f>
        <v/>
      </c>
      <c r="AH15" s="37" t="str">
        <f>IF($C15="","",VLOOKUP($C15,CTBat!$G$10:$BR$203,AH$4,FALSE))</f>
        <v/>
      </c>
      <c r="AI15" s="58" t="str">
        <f>IF($C15="","",VLOOKUP($C15,CTBat!$G$10:$BR$203,AI$4,FALSE))</f>
        <v/>
      </c>
      <c r="AJ15" s="38" t="str">
        <f>IF($C15="","",VLOOKUP($C15,CTBat!$G$10:$BR$203,AJ$4,FALSE))</f>
        <v/>
      </c>
      <c r="AK15" s="67" t="str">
        <f t="shared" si="13"/>
        <v/>
      </c>
      <c r="AL15" s="53" t="str">
        <f t="shared" si="14"/>
        <v/>
      </c>
      <c r="AM15" s="275" t="str">
        <f t="shared" si="15"/>
        <v/>
      </c>
      <c r="AN15" s="275" t="str">
        <f t="shared" si="16"/>
        <v/>
      </c>
      <c r="AO15" s="275" t="str">
        <f t="shared" si="17"/>
        <v/>
      </c>
      <c r="AP15" s="275" t="str">
        <f t="shared" si="18"/>
        <v/>
      </c>
      <c r="AQ15" s="275" t="str">
        <f t="shared" si="19"/>
        <v/>
      </c>
      <c r="AR15" s="275" t="str">
        <f t="shared" si="20"/>
        <v/>
      </c>
      <c r="AS15" s="275" t="str">
        <f t="shared" si="21"/>
        <v/>
      </c>
      <c r="AT15" s="276" t="str">
        <f t="shared" si="22"/>
        <v/>
      </c>
      <c r="AU15" s="58" t="str">
        <f>IF($C15="","",VLOOKUP($C15,CTBat!$G$10:$BR$203,AU$4,FALSE))</f>
        <v/>
      </c>
      <c r="AV15" s="37" t="str">
        <f>IF($C15="","",VLOOKUP($C15,CTBat!$G$10:$BR$203,AV$4,FALSE))</f>
        <v/>
      </c>
      <c r="AW15" s="37" t="str">
        <f>IF($C15="","",VLOOKUP($C15,CTBat!$G$10:$BR$203,AW$4,FALSE))</f>
        <v/>
      </c>
      <c r="AX15" s="37" t="str">
        <f>IF($C15="","",VLOOKUP($C15,CTBat!$G$10:$BR$203,AX$4,FALSE))</f>
        <v/>
      </c>
      <c r="AY15" s="38" t="str">
        <f>IF($C15="","",VLOOKUP($C15,CTBat!$G$10:$BR$203,AY$4,FALSE))</f>
        <v/>
      </c>
      <c r="AZ15" s="67" t="str">
        <f t="shared" si="23"/>
        <v/>
      </c>
    </row>
    <row r="16" spans="1:52">
      <c r="A16">
        <v>9</v>
      </c>
      <c r="B16" s="36" t="s">
        <v>101</v>
      </c>
      <c r="C16" s="65"/>
      <c r="D16" s="37" t="str">
        <f>IF($C16="","",VLOOKUP($C16,CTBat!$G$10:$BR$203,D$4,FALSE))</f>
        <v/>
      </c>
      <c r="E16" s="37" t="str">
        <f>IF($C16="","",VLOOKUP($C16,CTBat!$G$10:$BR$203,E$4,FALSE))</f>
        <v/>
      </c>
      <c r="F16" s="53" t="str">
        <f t="shared" si="3"/>
        <v/>
      </c>
      <c r="G16" s="275" t="str">
        <f t="shared" si="4"/>
        <v/>
      </c>
      <c r="H16" s="275" t="str">
        <f t="shared" si="5"/>
        <v/>
      </c>
      <c r="I16" s="275" t="str">
        <f t="shared" si="24"/>
        <v/>
      </c>
      <c r="J16" s="58" t="str">
        <f>IF($C16="","",VLOOKUP($C16,CTBat!$G$10:$BR$203,J$4,FALSE))</f>
        <v/>
      </c>
      <c r="K16" s="37" t="str">
        <f>IF($C16="","",VLOOKUP($C16,CTBat!$G$10:$BR$203,K$4,FALSE))</f>
        <v/>
      </c>
      <c r="L16" s="38" t="str">
        <f>IF($C16="","",VLOOKUP($C16,CTBat!$G$10:$BR$203,L$4,FALSE))</f>
        <v/>
      </c>
      <c r="M16" s="37" t="str">
        <f>IF($C16="","",VLOOKUP($C16,CTBat!$G$10:$BR$203,M$4,FALSE))</f>
        <v/>
      </c>
      <c r="N16" s="37" t="str">
        <f>IF($C16="","",VLOOKUP($C16,CTBat!$G$10:$BR$203,N$4,FALSE))</f>
        <v/>
      </c>
      <c r="O16" s="37" t="str">
        <f>IF($C16="","",VLOOKUP($C16,CTBat!$G$10:$BR$203,O$4,FALSE))</f>
        <v/>
      </c>
      <c r="P16" s="37" t="str">
        <f>IF($C16="","",VLOOKUP($C16,CTBat!$G$10:$BR$203,P$4,FALSE))</f>
        <v/>
      </c>
      <c r="Q16" s="37" t="str">
        <f>IF($C16="","",VLOOKUP($C16,CTBat!$G$10:$BR$203,Q$4,FALSE))</f>
        <v/>
      </c>
      <c r="R16" s="37" t="str">
        <f>IF($C16="","",VLOOKUP($C16,CTBat!$G$10:$BR$203,R$4,FALSE))</f>
        <v/>
      </c>
      <c r="S16" s="37" t="str">
        <f>IF($C16="","",VLOOKUP($C16,CTBat!$G$10:$BR$203,S$4,FALSE))</f>
        <v/>
      </c>
      <c r="T16" s="38" t="str">
        <f>IF($C16="","",VLOOKUP($C16,CTBat!$G$10:$BR$203,T$4,FALSE))</f>
        <v/>
      </c>
      <c r="U16" s="53" t="str">
        <f t="shared" si="1"/>
        <v/>
      </c>
      <c r="V16" s="275" t="str">
        <f t="shared" si="2"/>
        <v/>
      </c>
      <c r="W16" s="275" t="str">
        <f t="shared" si="6"/>
        <v/>
      </c>
      <c r="X16" s="275" t="str">
        <f t="shared" si="7"/>
        <v/>
      </c>
      <c r="Y16" s="275" t="str">
        <f t="shared" si="8"/>
        <v/>
      </c>
      <c r="Z16" s="275" t="str">
        <f t="shared" si="9"/>
        <v/>
      </c>
      <c r="AA16" s="275" t="str">
        <f t="shared" si="10"/>
        <v/>
      </c>
      <c r="AB16" s="275" t="str">
        <f t="shared" si="11"/>
        <v/>
      </c>
      <c r="AC16" s="276" t="str">
        <f t="shared" si="12"/>
        <v/>
      </c>
      <c r="AD16" s="37" t="str">
        <f>IF($C16="","",VLOOKUP($C16,CTBat!$G$10:$BR$203,AD$4,FALSE))</f>
        <v/>
      </c>
      <c r="AE16" s="37" t="str">
        <f>IF($C16="","",VLOOKUP($C16,CTBat!$G$10:$BR$203,AE$4,FALSE))</f>
        <v/>
      </c>
      <c r="AF16" s="37" t="str">
        <f>IF($C16="","",VLOOKUP($C16,CTBat!$G$10:$BR$203,AF$4,FALSE))</f>
        <v/>
      </c>
      <c r="AG16" s="37" t="str">
        <f>IF($C16="","",VLOOKUP($C16,CTBat!$G$10:$BR$203,AG$4,FALSE))</f>
        <v/>
      </c>
      <c r="AH16" s="37" t="str">
        <f>IF($C16="","",VLOOKUP($C16,CTBat!$G$10:$BR$203,AH$4,FALSE))</f>
        <v/>
      </c>
      <c r="AI16" s="58" t="str">
        <f>IF($C16="","",VLOOKUP($C16,CTBat!$G$10:$BR$203,AI$4,FALSE))</f>
        <v/>
      </c>
      <c r="AJ16" s="38" t="str">
        <f>IF($C16="","",VLOOKUP($C16,CTBat!$G$10:$BR$203,AJ$4,FALSE))</f>
        <v/>
      </c>
      <c r="AK16" s="67" t="str">
        <f t="shared" si="13"/>
        <v/>
      </c>
      <c r="AL16" s="53" t="str">
        <f t="shared" si="14"/>
        <v/>
      </c>
      <c r="AM16" s="275" t="str">
        <f t="shared" si="15"/>
        <v/>
      </c>
      <c r="AN16" s="275" t="str">
        <f t="shared" si="16"/>
        <v/>
      </c>
      <c r="AO16" s="275" t="str">
        <f t="shared" si="17"/>
        <v/>
      </c>
      <c r="AP16" s="275" t="str">
        <f t="shared" si="18"/>
        <v/>
      </c>
      <c r="AQ16" s="275" t="str">
        <f t="shared" si="19"/>
        <v/>
      </c>
      <c r="AR16" s="275" t="str">
        <f t="shared" si="20"/>
        <v/>
      </c>
      <c r="AS16" s="275" t="str">
        <f t="shared" si="21"/>
        <v/>
      </c>
      <c r="AT16" s="276" t="str">
        <f t="shared" si="22"/>
        <v/>
      </c>
      <c r="AU16" s="58" t="str">
        <f>IF($C16="","",VLOOKUP($C16,CTBat!$G$10:$BR$203,AU$4,FALSE))</f>
        <v/>
      </c>
      <c r="AV16" s="37" t="str">
        <f>IF($C16="","",VLOOKUP($C16,CTBat!$G$10:$BR$203,AV$4,FALSE))</f>
        <v/>
      </c>
      <c r="AW16" s="37" t="str">
        <f>IF($C16="","",VLOOKUP($C16,CTBat!$G$10:$BR$203,AW$4,FALSE))</f>
        <v/>
      </c>
      <c r="AX16" s="37" t="str">
        <f>IF($C16="","",VLOOKUP($C16,CTBat!$G$10:$BR$203,AX$4,FALSE))</f>
        <v/>
      </c>
      <c r="AY16" s="38" t="str">
        <f>IF($C16="","",VLOOKUP($C16,CTBat!$G$10:$BR$203,AY$4,FALSE))</f>
        <v/>
      </c>
      <c r="AZ16" s="67" t="str">
        <f t="shared" si="23"/>
        <v/>
      </c>
    </row>
    <row r="17" spans="1:52">
      <c r="A17">
        <v>10</v>
      </c>
      <c r="B17" s="39" t="s">
        <v>101</v>
      </c>
      <c r="C17" s="40"/>
      <c r="D17" s="40" t="str">
        <f>IF($C17="","",VLOOKUP($C17,CTBat!$G$10:$BR$203,D$4,FALSE))</f>
        <v/>
      </c>
      <c r="E17" s="40" t="str">
        <f>IF($C17="","",VLOOKUP($C17,CTBat!$G$10:$BR$203,E$4,FALSE))</f>
        <v/>
      </c>
      <c r="F17" s="54" t="str">
        <f t="shared" si="3"/>
        <v/>
      </c>
      <c r="G17" s="273" t="str">
        <f t="shared" si="4"/>
        <v/>
      </c>
      <c r="H17" s="273" t="str">
        <f t="shared" si="5"/>
        <v/>
      </c>
      <c r="I17" s="273" t="str">
        <f t="shared" si="24"/>
        <v/>
      </c>
      <c r="J17" s="59" t="str">
        <f>IF($C17="","",VLOOKUP($C17,CTBat!$G$10:$BR$203,J$4,FALSE))</f>
        <v/>
      </c>
      <c r="K17" s="40" t="str">
        <f>IF($C17="","",VLOOKUP($C17,CTBat!$G$10:$BR$203,K$4,FALSE))</f>
        <v/>
      </c>
      <c r="L17" s="42" t="str">
        <f>IF($C17="","",VLOOKUP($C17,CTBat!$G$10:$BR$203,L$4,FALSE))</f>
        <v/>
      </c>
      <c r="M17" s="40" t="str">
        <f>IF($C17="","",VLOOKUP($C17,CTBat!$G$10:$BR$203,M$4,FALSE))</f>
        <v/>
      </c>
      <c r="N17" s="40" t="str">
        <f>IF($C17="","",VLOOKUP($C17,CTBat!$G$10:$BR$203,N$4,FALSE))</f>
        <v/>
      </c>
      <c r="O17" s="40" t="str">
        <f>IF($C17="","",VLOOKUP($C17,CTBat!$G$10:$BR$203,O$4,FALSE))</f>
        <v/>
      </c>
      <c r="P17" s="40" t="str">
        <f>IF($C17="","",VLOOKUP($C17,CTBat!$G$10:$BR$203,P$4,FALSE))</f>
        <v/>
      </c>
      <c r="Q17" s="40" t="str">
        <f>IF($C17="","",VLOOKUP($C17,CTBat!$G$10:$BR$203,Q$4,FALSE))</f>
        <v/>
      </c>
      <c r="R17" s="40" t="str">
        <f>IF($C17="","",VLOOKUP($C17,CTBat!$G$10:$BR$203,R$4,FALSE))</f>
        <v/>
      </c>
      <c r="S17" s="40" t="str">
        <f>IF($C17="","",VLOOKUP($C17,CTBat!$G$10:$BR$203,S$4,FALSE))</f>
        <v/>
      </c>
      <c r="T17" s="42" t="str">
        <f>IF($C17="","",VLOOKUP($C17,CTBat!$G$10:$BR$203,T$4,FALSE))</f>
        <v/>
      </c>
      <c r="U17" s="54" t="str">
        <f t="shared" si="1"/>
        <v/>
      </c>
      <c r="V17" s="273" t="str">
        <f t="shared" si="2"/>
        <v/>
      </c>
      <c r="W17" s="273" t="str">
        <f t="shared" si="6"/>
        <v/>
      </c>
      <c r="X17" s="273" t="str">
        <f t="shared" si="7"/>
        <v/>
      </c>
      <c r="Y17" s="273" t="str">
        <f t="shared" si="8"/>
        <v/>
      </c>
      <c r="Z17" s="273" t="str">
        <f t="shared" si="9"/>
        <v/>
      </c>
      <c r="AA17" s="273" t="str">
        <f t="shared" si="10"/>
        <v/>
      </c>
      <c r="AB17" s="273" t="str">
        <f t="shared" si="11"/>
        <v/>
      </c>
      <c r="AC17" s="274" t="str">
        <f t="shared" si="12"/>
        <v/>
      </c>
      <c r="AD17" s="40" t="str">
        <f>IF($C17="","",VLOOKUP($C17,CTBat!$G$10:$BR$203,AD$4,FALSE))</f>
        <v/>
      </c>
      <c r="AE17" s="40" t="str">
        <f>IF($C17="","",VLOOKUP($C17,CTBat!$G$10:$BR$203,AE$4,FALSE))</f>
        <v/>
      </c>
      <c r="AF17" s="40" t="str">
        <f>IF($C17="","",VLOOKUP($C17,CTBat!$G$10:$BR$203,AF$4,FALSE))</f>
        <v/>
      </c>
      <c r="AG17" s="40" t="str">
        <f>IF($C17="","",VLOOKUP($C17,CTBat!$G$10:$BR$203,AG$4,FALSE))</f>
        <v/>
      </c>
      <c r="AH17" s="40" t="str">
        <f>IF($C17="","",VLOOKUP($C17,CTBat!$G$10:$BR$203,AH$4,FALSE))</f>
        <v/>
      </c>
      <c r="AI17" s="59" t="str">
        <f>IF($C17="","",VLOOKUP($C17,CTBat!$G$10:$BR$203,AI$4,FALSE))</f>
        <v/>
      </c>
      <c r="AJ17" s="42" t="str">
        <f>IF($C17="","",VLOOKUP($C17,CTBat!$G$10:$BR$203,AJ$4,FALSE))</f>
        <v/>
      </c>
      <c r="AK17" s="68" t="str">
        <f t="shared" si="13"/>
        <v/>
      </c>
      <c r="AL17" s="54" t="str">
        <f t="shared" si="14"/>
        <v/>
      </c>
      <c r="AM17" s="273" t="str">
        <f t="shared" si="15"/>
        <v/>
      </c>
      <c r="AN17" s="273" t="str">
        <f t="shared" si="16"/>
        <v/>
      </c>
      <c r="AO17" s="273" t="str">
        <f t="shared" si="17"/>
        <v/>
      </c>
      <c r="AP17" s="273" t="str">
        <f t="shared" si="18"/>
        <v/>
      </c>
      <c r="AQ17" s="273" t="str">
        <f t="shared" si="19"/>
        <v/>
      </c>
      <c r="AR17" s="273" t="str">
        <f t="shared" si="20"/>
        <v/>
      </c>
      <c r="AS17" s="273" t="str">
        <f t="shared" si="21"/>
        <v/>
      </c>
      <c r="AT17" s="274" t="str">
        <f t="shared" si="22"/>
        <v/>
      </c>
      <c r="AU17" s="59" t="str">
        <f>IF($C17="","",VLOOKUP($C17,CTBat!$G$10:$BR$203,AU$4,FALSE))</f>
        <v/>
      </c>
      <c r="AV17" s="40" t="str">
        <f>IF($C17="","",VLOOKUP($C17,CTBat!$G$10:$BR$203,AV$4,FALSE))</f>
        <v/>
      </c>
      <c r="AW17" s="40" t="str">
        <f>IF($C17="","",VLOOKUP($C17,CTBat!$G$10:$BR$203,AW$4,FALSE))</f>
        <v/>
      </c>
      <c r="AX17" s="40" t="str">
        <f>IF($C17="","",VLOOKUP($C17,CTBat!$G$10:$BR$203,AX$4,FALSE))</f>
        <v/>
      </c>
      <c r="AY17" s="42" t="str">
        <f>IF($C17="","",VLOOKUP($C17,CTBat!$G$10:$BR$203,AY$4,FALSE))</f>
        <v/>
      </c>
      <c r="AZ17" s="68" t="str">
        <f t="shared" si="23"/>
        <v/>
      </c>
    </row>
    <row r="19" spans="1:52" s="24" customFormat="1" ht="196.5">
      <c r="A19" s="25" t="s">
        <v>193</v>
      </c>
      <c r="B19" s="270" t="s">
        <v>125</v>
      </c>
      <c r="C19" s="44" t="str">
        <f>"Player ("&amp;COUNTA(C20:C27)&amp;")"</f>
        <v>Player (0)</v>
      </c>
      <c r="D19" s="44" t="s">
        <v>91</v>
      </c>
      <c r="E19" s="44" t="s">
        <v>101</v>
      </c>
      <c r="F19" s="51" t="str">
        <f>"Only 1 guy who only plays 2B ("&amp;SUM(F20:F27)&amp;")"</f>
        <v>Only 1 guy who only plays 2B (0)</v>
      </c>
      <c r="G19" s="46" t="str">
        <f>"2 Guys Who Play SS ("&amp;SUM(G20:G27)&amp;")"</f>
        <v>2 Guys Who Play SS (0)</v>
      </c>
      <c r="H19" s="46" t="str">
        <f>"2 guys with 3B arm ("&amp;SUM(H20:H27)&amp;")"</f>
        <v>2 guys with 3B arm (0)</v>
      </c>
      <c r="I19" s="49" t="s">
        <v>41</v>
      </c>
      <c r="J19" s="47" t="s">
        <v>136</v>
      </c>
      <c r="K19" s="47" t="s">
        <v>134</v>
      </c>
      <c r="L19" s="47" t="s">
        <v>135</v>
      </c>
      <c r="M19" s="63" t="s">
        <v>92</v>
      </c>
      <c r="N19" s="48" t="s">
        <v>94</v>
      </c>
      <c r="O19" s="48" t="s">
        <v>95</v>
      </c>
      <c r="P19" s="48" t="s">
        <v>96</v>
      </c>
      <c r="Q19" s="48" t="s">
        <v>97</v>
      </c>
      <c r="R19" s="48" t="s">
        <v>98</v>
      </c>
      <c r="S19" s="48" t="s">
        <v>99</v>
      </c>
      <c r="T19" s="49" t="s">
        <v>100</v>
      </c>
      <c r="U19" s="45" t="s">
        <v>137</v>
      </c>
      <c r="V19" s="45" t="s">
        <v>181</v>
      </c>
      <c r="W19" s="45" t="s">
        <v>138</v>
      </c>
      <c r="X19" s="45" t="s">
        <v>139</v>
      </c>
      <c r="Y19" s="45" t="s">
        <v>140</v>
      </c>
      <c r="Z19" s="45" t="s">
        <v>141</v>
      </c>
      <c r="AA19" s="45" t="s">
        <v>142</v>
      </c>
      <c r="AB19" s="45" t="s">
        <v>144</v>
      </c>
      <c r="AC19" s="45" t="s">
        <v>143</v>
      </c>
      <c r="AD19" s="63" t="s">
        <v>147</v>
      </c>
      <c r="AE19" s="48" t="s">
        <v>148</v>
      </c>
      <c r="AF19" s="48" t="s">
        <v>149</v>
      </c>
      <c r="AG19" s="48" t="s">
        <v>150</v>
      </c>
      <c r="AH19" s="48" t="s">
        <v>29</v>
      </c>
      <c r="AI19" s="48" t="s">
        <v>151</v>
      </c>
      <c r="AJ19" s="49" t="s">
        <v>152</v>
      </c>
      <c r="AK19" s="66" t="s">
        <v>157</v>
      </c>
      <c r="AL19" s="45" t="s">
        <v>137</v>
      </c>
      <c r="AM19" s="45" t="s">
        <v>181</v>
      </c>
      <c r="AN19" s="45" t="s">
        <v>138</v>
      </c>
      <c r="AO19" s="45" t="s">
        <v>139</v>
      </c>
      <c r="AP19" s="45" t="s">
        <v>140</v>
      </c>
      <c r="AQ19" s="45" t="s">
        <v>141</v>
      </c>
      <c r="AR19" s="45" t="s">
        <v>142</v>
      </c>
      <c r="AS19" s="45" t="s">
        <v>144</v>
      </c>
      <c r="AT19" s="45" t="s">
        <v>143</v>
      </c>
      <c r="AU19" s="63" t="s">
        <v>147</v>
      </c>
      <c r="AV19" s="48" t="s">
        <v>148</v>
      </c>
      <c r="AW19" s="48" t="s">
        <v>149</v>
      </c>
      <c r="AX19" s="48" t="s">
        <v>150</v>
      </c>
      <c r="AY19" s="49" t="s">
        <v>29</v>
      </c>
      <c r="AZ19" s="66" t="s">
        <v>197</v>
      </c>
    </row>
    <row r="20" spans="1:52">
      <c r="A20">
        <v>1</v>
      </c>
      <c r="B20" s="36" t="s">
        <v>95</v>
      </c>
      <c r="C20" s="37"/>
      <c r="D20" s="37" t="str">
        <f>IF($C20="","",VLOOKUP($C20,CTBat!$G$10:$BR$203,D$4,FALSE))</f>
        <v/>
      </c>
      <c r="E20" s="33" t="str">
        <f>IF($C20="","",VLOOKUP($C20,CTBat!$G$10:$BR$203,E$4,FALSE))</f>
        <v/>
      </c>
      <c r="F20" s="53" t="str">
        <f>IF($C20="","",IF(AND(O20&gt;0,O20=SUM(M20:T20)),1,0))</f>
        <v/>
      </c>
      <c r="G20" s="275" t="str">
        <f t="shared" ref="G20:G26" si="25">IF($C20="","",IF(Q20&lt;&gt;"-",1,0))</f>
        <v/>
      </c>
      <c r="H20" s="275" t="str">
        <f>IF($C20="","",IF(AND(K20&gt;5,P20&lt;&gt;"-"),1,0))</f>
        <v/>
      </c>
      <c r="I20" s="276" t="str">
        <f>IF($C20="","","-")</f>
        <v/>
      </c>
      <c r="J20" s="37" t="str">
        <f>IF($C20="","",VLOOKUP($C20,CTBat!$G$10:$BR$203,J$4,FALSE))</f>
        <v/>
      </c>
      <c r="K20" s="37" t="str">
        <f>IF($C20="","",VLOOKUP($C20,CTBat!$G$10:$BR$203,K$4,FALSE))</f>
        <v/>
      </c>
      <c r="L20" s="37" t="str">
        <f>IF($C20="","",VLOOKUP($C20,CTBat!$G$10:$BR$203,L$4,FALSE))</f>
        <v/>
      </c>
      <c r="M20" s="58" t="str">
        <f>IF($C20="","",VLOOKUP($C20,CTBat!$G$10:$BR$203,M$4,FALSE))</f>
        <v/>
      </c>
      <c r="N20" s="37" t="str">
        <f>IF($C20="","",VLOOKUP($C20,CTBat!$G$10:$BR$203,N$4,FALSE))</f>
        <v/>
      </c>
      <c r="O20" s="37" t="str">
        <f>IF($C20="","",VLOOKUP($C20,CTBat!$G$10:$BR$203,O$4,FALSE))</f>
        <v/>
      </c>
      <c r="P20" s="37" t="str">
        <f>IF($C20="","",VLOOKUP($C20,CTBat!$G$10:$BR$203,P$4,FALSE))</f>
        <v/>
      </c>
      <c r="Q20" s="37" t="str">
        <f>IF($C20="","",VLOOKUP($C20,CTBat!$G$10:$BR$203,Q$4,FALSE))</f>
        <v/>
      </c>
      <c r="R20" s="37" t="str">
        <f>IF($C20="","",VLOOKUP($C20,CTBat!$G$10:$BR$203,R$4,FALSE))</f>
        <v/>
      </c>
      <c r="S20" s="37" t="str">
        <f>IF($C20="","",VLOOKUP($C20,CTBat!$G$10:$BR$203,S$4,FALSE))</f>
        <v/>
      </c>
      <c r="T20" s="38" t="str">
        <f>IF($C20="","",VLOOKUP($C20,CTBat!$G$10:$BR$203,T$4,FALSE))</f>
        <v/>
      </c>
      <c r="U20" s="275" t="str">
        <f t="shared" ref="U20:U21" si="26">IF($C20="","",IF(OR(AD20+AG20&gt;14,AND(OR(AD20+AG20&gt;12,AND(AD20&gt;6,AG20&gt;6)),AI20&gt;6,OR(AJ20&gt;=AI20,AJ20&gt;6))),1,0))</f>
        <v/>
      </c>
      <c r="V20" s="275" t="str">
        <f t="shared" ref="V20:V27" si="27">IF($C20="","",IF(OR(AND(AD20&gt;6,AH20&gt;6),AD20+AG20&gt;12),1,0))</f>
        <v/>
      </c>
      <c r="W20" s="275" t="str">
        <f>IF($C20="","",IF(AND(AD20&gt;6,AF20&gt;6,AG20&gt;6),1,0))</f>
        <v/>
      </c>
      <c r="X20" s="275" t="str">
        <f t="shared" ref="X20:X27" si="28">IF($C20="","",IF(AND(AF20&gt;7,OR(AD20&gt;6,AG20&gt;6)),1,0))</f>
        <v/>
      </c>
      <c r="Y20" s="275" t="str">
        <f t="shared" ref="Y20:Y27" si="29">IF($C20="","",IF(AND(AF20&gt;6,OR(AD20&gt;6,AG20&gt;6)),1,0))</f>
        <v/>
      </c>
      <c r="Z20" s="275" t="str">
        <f t="shared" ref="Z20:Z27" si="30">IF($C20="","",IF(AND(OR(AD20&gt;6,AF20&gt;6),OR(AD20&gt;6,AG20&gt;6)),1,0))</f>
        <v/>
      </c>
      <c r="AA20" s="275" t="str">
        <f t="shared" ref="AA20:AA27" si="31">IF($C20="","",IF(AND(AD20&gt;4,OR(AD20&gt;6,AF20&gt;6,AG20&gt;6)),1,0))</f>
        <v/>
      </c>
      <c r="AB20" s="275" t="str">
        <f t="shared" ref="AB20:AB27" si="32">IF($C20="","",IF(AND(AD20&gt;4,OR(AD20&gt;6,AE20&gt;6,AF20&gt;6,AG20&gt;6)),1,0))</f>
        <v/>
      </c>
      <c r="AC20" s="275" t="str">
        <f t="shared" ref="AC20:AC27" si="33">IF($C20="","",IF(AND(AD20&gt;4,MAX(AD20:AH20)&gt;6),1,0))</f>
        <v/>
      </c>
      <c r="AD20" s="58" t="str">
        <f>IF($C20="","",VLOOKUP($C20,CTBat!$G$10:$BR$203,AD$4,FALSE))</f>
        <v/>
      </c>
      <c r="AE20" s="37" t="str">
        <f>IF($C20="","",VLOOKUP($C20,CTBat!$G$10:$BR$203,AE$4,FALSE))</f>
        <v/>
      </c>
      <c r="AF20" s="37" t="str">
        <f>IF($C20="","",VLOOKUP($C20,CTBat!$G$10:$BR$203,AF$4,FALSE))</f>
        <v/>
      </c>
      <c r="AG20" s="37" t="str">
        <f>IF($C20="","",VLOOKUP($C20,CTBat!$G$10:$BR$203,AG$4,FALSE))</f>
        <v/>
      </c>
      <c r="AH20" s="37" t="str">
        <f>IF($C20="","",VLOOKUP($C20,CTBat!$G$10:$BR$203,AH$4,FALSE))</f>
        <v/>
      </c>
      <c r="AI20" s="37" t="str">
        <f>IF($C20="","",VLOOKUP($C20,CTBat!$G$10:$BR$203,AI$4,FALSE))</f>
        <v/>
      </c>
      <c r="AJ20" s="38" t="str">
        <f>IF($C20="","",VLOOKUP($C20,CTBat!$G$10:$BR$203,AJ$4,FALSE))</f>
        <v/>
      </c>
      <c r="AK20" s="67" t="str">
        <f>IF($C20="","",(5*AD20+4*AF20+3*AG20+2*AE20+1*AH20+0.5*(AVERAGE(AD20:AE20))+0.5*AVERAGE(AD20,AH20)+1*(AVERAGE(AD20,AF20))+1*AVERAGE(AD20,AG20))/(5+4+3+2+1+0.5+0.5+1+1))</f>
        <v/>
      </c>
      <c r="AL20" s="275" t="str">
        <f t="shared" ref="AL20:AL27" si="34">IF($C20="","",IF(AND(OR(AU20+AX20&gt;12,AND(AU20&gt;6,AX20&gt;6)),AI20&gt;6,OR(AJ20&gt;=AI20,AJ20&gt;6)),1,0))</f>
        <v/>
      </c>
      <c r="AM20" s="275" t="str">
        <f t="shared" ref="AM20:AM27" si="35">IF($C20="","",IF(OR(AND(AU20&gt;6,AY20&gt;6),AU20+AX20&gt;12),1,0))</f>
        <v/>
      </c>
      <c r="AN20" s="275" t="str">
        <f t="shared" ref="AN20:AN27" si="36">IF($C20="","",IF(AND(AU20&gt;6,AW20&gt;6,AX20&gt;6),1,0))</f>
        <v/>
      </c>
      <c r="AO20" s="275" t="str">
        <f t="shared" ref="AO20:AO27" si="37">IF($C20="","",IF(AND(AW20&gt;7,OR(AU20&gt;6,AX20&gt;6)),1,0))</f>
        <v/>
      </c>
      <c r="AP20" s="275" t="str">
        <f t="shared" ref="AP20:AP27" si="38">IF($C20="","",IF(AND(AW20&gt;6,OR(AU20&gt;6,AX20&gt;6)),1,0))</f>
        <v/>
      </c>
      <c r="AQ20" s="275" t="str">
        <f t="shared" ref="AQ20:AQ27" si="39">IF($C20="","",IF(AND(OR(AU20&gt;6,AW20&gt;6),OR(AU20&gt;6,AX20&gt;6)),1,0))</f>
        <v/>
      </c>
      <c r="AR20" s="275" t="str">
        <f t="shared" ref="AR20:AR27" si="40">IF($C20="","",IF(AND(AU20&gt;4,OR(AU20&gt;6,AW20&gt;6,AX20&gt;6)),1,0))</f>
        <v/>
      </c>
      <c r="AS20" s="275" t="str">
        <f t="shared" ref="AS20:AS27" si="41">IF($C20="","",IF(AND(AU20&gt;4,OR(AU20&gt;6,AV20&gt;6,AW20&gt;6,AX20&gt;6)),1,0))</f>
        <v/>
      </c>
      <c r="AT20" s="275" t="str">
        <f t="shared" ref="AT20:AT27" si="42">IF($C20="","",IF(AND(AU20&gt;4,MAX(AU20:AY20)&gt;6),1,0))</f>
        <v/>
      </c>
      <c r="AU20" s="58" t="str">
        <f>IF($C20="","",VLOOKUP($C20,CTBat!$G$10:$BR$203,AU$4,FALSE))</f>
        <v/>
      </c>
      <c r="AV20" s="37" t="str">
        <f>IF($C20="","",VLOOKUP($C20,CTBat!$G$10:$BR$203,AV$4,FALSE))</f>
        <v/>
      </c>
      <c r="AW20" s="37" t="str">
        <f>IF($C20="","",VLOOKUP($C20,CTBat!$G$10:$BR$203,AW$4,FALSE))</f>
        <v/>
      </c>
      <c r="AX20" s="37" t="str">
        <f>IF($C20="","",VLOOKUP($C20,CTBat!$G$10:$BR$203,AX$4,FALSE))</f>
        <v/>
      </c>
      <c r="AY20" s="38" t="str">
        <f>IF($C20="","",VLOOKUP($C20,CTBat!$G$10:$BR$203,AY$4,FALSE))</f>
        <v/>
      </c>
      <c r="AZ20" s="67" t="str">
        <f t="shared" ref="AZ20:AZ27" si="43">IF($C20="","",(5*AU20+4*AW20+3*AX20+2*AV20+1*AY20+0.5*(AVERAGE(AU20:AV20))+0.5*AVERAGE(AU20,AY20)+1*(AVERAGE(AU20,AW20))+1*AVERAGE(AU20,AX20))/(5+4+3+2+1+0.5+0.5+1+1))</f>
        <v/>
      </c>
    </row>
    <row r="21" spans="1:52">
      <c r="A21">
        <v>2</v>
      </c>
      <c r="B21" s="36" t="s">
        <v>96</v>
      </c>
      <c r="C21" s="37"/>
      <c r="D21" s="37" t="str">
        <f>IF($C21="","",VLOOKUP($C21,CTBat!$G$10:$BR$203,D$4,FALSE))</f>
        <v/>
      </c>
      <c r="E21" s="37" t="str">
        <f>IF($C21="","",VLOOKUP($C21,CTBat!$G$10:$BR$203,E$4,FALSE))</f>
        <v/>
      </c>
      <c r="F21" s="53" t="str">
        <f t="shared" ref="F21:F27" si="44">IF($C21="","",IF(AND(O21&gt;0,O21=SUM(M21:T21)),1,0))</f>
        <v/>
      </c>
      <c r="G21" s="275" t="str">
        <f t="shared" si="25"/>
        <v/>
      </c>
      <c r="H21" s="275" t="str">
        <f>IF($C21="","",IF(AND(K21&gt;5,P21&lt;&gt;"-"),1,0))</f>
        <v/>
      </c>
      <c r="I21" s="276" t="str">
        <f t="shared" ref="I21:I27" si="45">IF($C21="","","-")</f>
        <v/>
      </c>
      <c r="J21" s="37" t="str">
        <f>IF($C21="","",VLOOKUP($C21,CTBat!$G$10:$BR$203,J$4,FALSE))</f>
        <v/>
      </c>
      <c r="K21" s="37" t="str">
        <f>IF($C21="","",VLOOKUP($C21,CTBat!$G$10:$BR$203,K$4,FALSE))</f>
        <v/>
      </c>
      <c r="L21" s="37" t="str">
        <f>IF($C21="","",VLOOKUP($C21,CTBat!$G$10:$BR$203,L$4,FALSE))</f>
        <v/>
      </c>
      <c r="M21" s="58" t="str">
        <f>IF($C21="","",VLOOKUP($C21,CTBat!$G$10:$BR$203,M$4,FALSE))</f>
        <v/>
      </c>
      <c r="N21" s="37" t="str">
        <f>IF($C21="","",VLOOKUP($C21,CTBat!$G$10:$BR$203,N$4,FALSE))</f>
        <v/>
      </c>
      <c r="O21" s="37" t="str">
        <f>IF($C21="","",VLOOKUP($C21,CTBat!$G$10:$BR$203,O$4,FALSE))</f>
        <v/>
      </c>
      <c r="P21" s="37" t="str">
        <f>IF($C21="","",VLOOKUP($C21,CTBat!$G$10:$BR$203,P$4,FALSE))</f>
        <v/>
      </c>
      <c r="Q21" s="37" t="str">
        <f>IF($C21="","",VLOOKUP($C21,CTBat!$G$10:$BR$203,Q$4,FALSE))</f>
        <v/>
      </c>
      <c r="R21" s="37" t="str">
        <f>IF($C21="","",VLOOKUP($C21,CTBat!$G$10:$BR$203,R$4,FALSE))</f>
        <v/>
      </c>
      <c r="S21" s="37" t="str">
        <f>IF($C21="","",VLOOKUP($C21,CTBat!$G$10:$BR$203,S$4,FALSE))</f>
        <v/>
      </c>
      <c r="T21" s="38" t="str">
        <f>IF($C21="","",VLOOKUP($C21,CTBat!$G$10:$BR$203,T$4,FALSE))</f>
        <v/>
      </c>
      <c r="U21" s="275" t="str">
        <f t="shared" si="26"/>
        <v/>
      </c>
      <c r="V21" s="275" t="str">
        <f t="shared" si="27"/>
        <v/>
      </c>
      <c r="W21" s="275" t="str">
        <f t="shared" ref="W21:W27" si="46">IF($C21="","",IF(AND(AD21&gt;6,AF21&gt;6,AG21&gt;6),1,0))</f>
        <v/>
      </c>
      <c r="X21" s="275" t="str">
        <f t="shared" si="28"/>
        <v/>
      </c>
      <c r="Y21" s="275" t="str">
        <f t="shared" si="29"/>
        <v/>
      </c>
      <c r="Z21" s="275" t="str">
        <f t="shared" si="30"/>
        <v/>
      </c>
      <c r="AA21" s="275" t="str">
        <f t="shared" si="31"/>
        <v/>
      </c>
      <c r="AB21" s="275" t="str">
        <f t="shared" si="32"/>
        <v/>
      </c>
      <c r="AC21" s="275" t="str">
        <f t="shared" si="33"/>
        <v/>
      </c>
      <c r="AD21" s="58" t="str">
        <f>IF($C21="","",VLOOKUP($C21,CTBat!$G$10:$BR$203,AD$4,FALSE))</f>
        <v/>
      </c>
      <c r="AE21" s="37" t="str">
        <f>IF($C21="","",VLOOKUP($C21,CTBat!$G$10:$BR$203,AE$4,FALSE))</f>
        <v/>
      </c>
      <c r="AF21" s="37" t="str">
        <f>IF($C21="","",VLOOKUP($C21,CTBat!$G$10:$BR$203,AF$4,FALSE))</f>
        <v/>
      </c>
      <c r="AG21" s="37" t="str">
        <f>IF($C21="","",VLOOKUP($C21,CTBat!$G$10:$BR$203,AG$4,FALSE))</f>
        <v/>
      </c>
      <c r="AH21" s="37" t="str">
        <f>IF($C21="","",VLOOKUP($C21,CTBat!$G$10:$BR$203,AH$4,FALSE))</f>
        <v/>
      </c>
      <c r="AI21" s="37" t="str">
        <f>IF($C21="","",VLOOKUP($C21,CTBat!$G$10:$BR$203,AI$4,FALSE))</f>
        <v/>
      </c>
      <c r="AJ21" s="38" t="str">
        <f>IF($C21="","",VLOOKUP($C21,CTBat!$G$10:$BR$203,AJ$4,FALSE))</f>
        <v/>
      </c>
      <c r="AK21" s="67" t="str">
        <f t="shared" ref="AK21:AK27" si="47">IF($C21="","",(5*AD21+4*AF21+3*AG21+2*AE21+1*AH21+0.5*(AVERAGE(AD21:AE21))+0.5*AVERAGE(AD21,AH21)+1*(AVERAGE(AD21,AF21))+1*AVERAGE(AD21,AG21))/(5+4+3+2+1+0.5+0.5+1+1))</f>
        <v/>
      </c>
      <c r="AL21" s="275" t="str">
        <f t="shared" si="34"/>
        <v/>
      </c>
      <c r="AM21" s="275" t="str">
        <f t="shared" si="35"/>
        <v/>
      </c>
      <c r="AN21" s="275" t="str">
        <f t="shared" si="36"/>
        <v/>
      </c>
      <c r="AO21" s="275" t="str">
        <f t="shared" si="37"/>
        <v/>
      </c>
      <c r="AP21" s="275" t="str">
        <f t="shared" si="38"/>
        <v/>
      </c>
      <c r="AQ21" s="275" t="str">
        <f t="shared" si="39"/>
        <v/>
      </c>
      <c r="AR21" s="275" t="str">
        <f t="shared" si="40"/>
        <v/>
      </c>
      <c r="AS21" s="275" t="str">
        <f t="shared" si="41"/>
        <v/>
      </c>
      <c r="AT21" s="275" t="str">
        <f t="shared" si="42"/>
        <v/>
      </c>
      <c r="AU21" s="58" t="str">
        <f>IF($C21="","",VLOOKUP($C21,CTBat!$G$10:$BR$203,AU$4,FALSE))</f>
        <v/>
      </c>
      <c r="AV21" s="37" t="str">
        <f>IF($C21="","",VLOOKUP($C21,CTBat!$G$10:$BR$203,AV$4,FALSE))</f>
        <v/>
      </c>
      <c r="AW21" s="37" t="str">
        <f>IF($C21="","",VLOOKUP($C21,CTBat!$G$10:$BR$203,AW$4,FALSE))</f>
        <v/>
      </c>
      <c r="AX21" s="37" t="str">
        <f>IF($C21="","",VLOOKUP($C21,CTBat!$G$10:$BR$203,AX$4,FALSE))</f>
        <v/>
      </c>
      <c r="AY21" s="38" t="str">
        <f>IF($C21="","",VLOOKUP($C21,CTBat!$G$10:$BR$203,AY$4,FALSE))</f>
        <v/>
      </c>
      <c r="AZ21" s="67" t="str">
        <f t="shared" si="43"/>
        <v/>
      </c>
    </row>
    <row r="22" spans="1:52">
      <c r="A22">
        <v>3</v>
      </c>
      <c r="B22" s="36" t="s">
        <v>97</v>
      </c>
      <c r="C22" s="37"/>
      <c r="D22" s="37" t="str">
        <f>IF($C22="","",VLOOKUP($C22,CTBat!$G$10:$BR$203,D$4,FALSE))</f>
        <v/>
      </c>
      <c r="E22" s="37" t="str">
        <f>IF($C22="","",VLOOKUP($C22,CTBat!$G$10:$BR$203,E$4,FALSE))</f>
        <v/>
      </c>
      <c r="F22" s="53" t="str">
        <f t="shared" si="44"/>
        <v/>
      </c>
      <c r="G22" s="275" t="str">
        <f t="shared" si="25"/>
        <v/>
      </c>
      <c r="H22" s="275" t="str">
        <f t="shared" ref="H22:H27" si="48">IF($C22="","",IF(AND(K22&gt;5,P22&lt;&gt;"-"),1,0))</f>
        <v/>
      </c>
      <c r="I22" s="276" t="str">
        <f t="shared" si="45"/>
        <v/>
      </c>
      <c r="J22" s="37" t="str">
        <f>IF($C22="","",VLOOKUP($C22,CTBat!$G$10:$BR$203,J$4,FALSE))</f>
        <v/>
      </c>
      <c r="K22" s="37" t="str">
        <f>IF($C22="","",VLOOKUP($C22,CTBat!$G$10:$BR$203,K$4,FALSE))</f>
        <v/>
      </c>
      <c r="L22" s="37" t="str">
        <f>IF($C22="","",VLOOKUP($C22,CTBat!$G$10:$BR$203,L$4,FALSE))</f>
        <v/>
      </c>
      <c r="M22" s="58" t="str">
        <f>IF($C22="","",VLOOKUP($C22,CTBat!$G$10:$BR$203,M$4,FALSE))</f>
        <v/>
      </c>
      <c r="N22" s="37" t="str">
        <f>IF($C22="","",VLOOKUP($C22,CTBat!$G$10:$BR$203,N$4,FALSE))</f>
        <v/>
      </c>
      <c r="O22" s="37" t="str">
        <f>IF($C22="","",VLOOKUP($C22,CTBat!$G$10:$BR$203,O$4,FALSE))</f>
        <v/>
      </c>
      <c r="P22" s="37" t="str">
        <f>IF($C22="","",VLOOKUP($C22,CTBat!$G$10:$BR$203,P$4,FALSE))</f>
        <v/>
      </c>
      <c r="Q22" s="37" t="str">
        <f>IF($C22="","",VLOOKUP($C22,CTBat!$G$10:$BR$203,Q$4,FALSE))</f>
        <v/>
      </c>
      <c r="R22" s="37" t="str">
        <f>IF($C22="","",VLOOKUP($C22,CTBat!$G$10:$BR$203,R$4,FALSE))</f>
        <v/>
      </c>
      <c r="S22" s="37" t="str">
        <f>IF($C22="","",VLOOKUP($C22,CTBat!$G$10:$BR$203,S$4,FALSE))</f>
        <v/>
      </c>
      <c r="T22" s="38" t="str">
        <f>IF($C22="","",VLOOKUP($C22,CTBat!$G$10:$BR$203,T$4,FALSE))</f>
        <v/>
      </c>
      <c r="U22" s="275" t="str">
        <f>IF($C22="","",IF(OR(AD22+AG22&gt;14,AND(OR(AD22+AG22&gt;12,AND(AD22&gt;6,AG22&gt;6)),AI22&gt;6,OR(AJ22&gt;=AI22,AJ22&gt;6))),1,0))</f>
        <v/>
      </c>
      <c r="V22" s="275" t="str">
        <f t="shared" si="27"/>
        <v/>
      </c>
      <c r="W22" s="275" t="str">
        <f t="shared" si="46"/>
        <v/>
      </c>
      <c r="X22" s="275" t="str">
        <f t="shared" si="28"/>
        <v/>
      </c>
      <c r="Y22" s="275" t="str">
        <f t="shared" si="29"/>
        <v/>
      </c>
      <c r="Z22" s="275" t="str">
        <f t="shared" si="30"/>
        <v/>
      </c>
      <c r="AA22" s="275" t="str">
        <f t="shared" si="31"/>
        <v/>
      </c>
      <c r="AB22" s="275" t="str">
        <f t="shared" si="32"/>
        <v/>
      </c>
      <c r="AC22" s="275" t="str">
        <f t="shared" si="33"/>
        <v/>
      </c>
      <c r="AD22" s="58" t="str">
        <f>IF($C22="","",VLOOKUP($C22,CTBat!$G$10:$BR$203,AD$4,FALSE))</f>
        <v/>
      </c>
      <c r="AE22" s="37" t="str">
        <f>IF($C22="","",VLOOKUP($C22,CTBat!$G$10:$BR$203,AE$4,FALSE))</f>
        <v/>
      </c>
      <c r="AF22" s="37" t="str">
        <f>IF($C22="","",VLOOKUP($C22,CTBat!$G$10:$BR$203,AF$4,FALSE))</f>
        <v/>
      </c>
      <c r="AG22" s="37" t="str">
        <f>IF($C22="","",VLOOKUP($C22,CTBat!$G$10:$BR$203,AG$4,FALSE))</f>
        <v/>
      </c>
      <c r="AH22" s="37" t="str">
        <f>IF($C22="","",VLOOKUP($C22,CTBat!$G$10:$BR$203,AH$4,FALSE))</f>
        <v/>
      </c>
      <c r="AI22" s="37" t="str">
        <f>IF($C22="","",VLOOKUP($C22,CTBat!$G$10:$BR$203,AI$4,FALSE))</f>
        <v/>
      </c>
      <c r="AJ22" s="38" t="str">
        <f>IF($C22="","",VLOOKUP($C22,CTBat!$G$10:$BR$203,AJ$4,FALSE))</f>
        <v/>
      </c>
      <c r="AK22" s="67" t="str">
        <f t="shared" si="47"/>
        <v/>
      </c>
      <c r="AL22" s="275" t="str">
        <f t="shared" si="34"/>
        <v/>
      </c>
      <c r="AM22" s="275" t="str">
        <f t="shared" si="35"/>
        <v/>
      </c>
      <c r="AN22" s="275" t="str">
        <f t="shared" si="36"/>
        <v/>
      </c>
      <c r="AO22" s="275" t="str">
        <f t="shared" si="37"/>
        <v/>
      </c>
      <c r="AP22" s="275" t="str">
        <f t="shared" si="38"/>
        <v/>
      </c>
      <c r="AQ22" s="275" t="str">
        <f t="shared" si="39"/>
        <v/>
      </c>
      <c r="AR22" s="275" t="str">
        <f t="shared" si="40"/>
        <v/>
      </c>
      <c r="AS22" s="275" t="str">
        <f t="shared" si="41"/>
        <v/>
      </c>
      <c r="AT22" s="275" t="str">
        <f t="shared" si="42"/>
        <v/>
      </c>
      <c r="AU22" s="58" t="str">
        <f>IF($C22="","",VLOOKUP($C22,CTBat!$G$10:$BR$203,AU$4,FALSE))</f>
        <v/>
      </c>
      <c r="AV22" s="37" t="str">
        <f>IF($C22="","",VLOOKUP($C22,CTBat!$G$10:$BR$203,AV$4,FALSE))</f>
        <v/>
      </c>
      <c r="AW22" s="37" t="str">
        <f>IF($C22="","",VLOOKUP($C22,CTBat!$G$10:$BR$203,AW$4,FALSE))</f>
        <v/>
      </c>
      <c r="AX22" s="37" t="str">
        <f>IF($C22="","",VLOOKUP($C22,CTBat!$G$10:$BR$203,AX$4,FALSE))</f>
        <v/>
      </c>
      <c r="AY22" s="38" t="str">
        <f>IF($C22="","",VLOOKUP($C22,CTBat!$G$10:$BR$203,AY$4,FALSE))</f>
        <v/>
      </c>
      <c r="AZ22" s="67" t="str">
        <f t="shared" si="43"/>
        <v/>
      </c>
    </row>
    <row r="23" spans="1:52">
      <c r="A23">
        <v>4</v>
      </c>
      <c r="B23" s="36" t="s">
        <v>101</v>
      </c>
      <c r="C23" s="37"/>
      <c r="D23" s="37" t="str">
        <f>IF($C23="","",VLOOKUP($C23,CTBat!$G$10:$BR$203,D$4,FALSE))</f>
        <v/>
      </c>
      <c r="E23" s="37" t="str">
        <f>IF($C23="","",VLOOKUP($C23,CTBat!$G$10:$BR$203,E$4,FALSE))</f>
        <v/>
      </c>
      <c r="F23" s="53" t="str">
        <f t="shared" si="44"/>
        <v/>
      </c>
      <c r="G23" s="275" t="str">
        <f t="shared" si="25"/>
        <v/>
      </c>
      <c r="H23" s="275" t="str">
        <f t="shared" si="48"/>
        <v/>
      </c>
      <c r="I23" s="276" t="str">
        <f t="shared" si="45"/>
        <v/>
      </c>
      <c r="J23" s="37" t="str">
        <f>IF($C23="","",VLOOKUP($C23,CTBat!$G$10:$BR$203,J$4,FALSE))</f>
        <v/>
      </c>
      <c r="K23" s="37" t="str">
        <f>IF($C23="","",VLOOKUP($C23,CTBat!$G$10:$BR$203,K$4,FALSE))</f>
        <v/>
      </c>
      <c r="L23" s="37" t="str">
        <f>IF($C23="","",VLOOKUP($C23,CTBat!$G$10:$BR$203,L$4,FALSE))</f>
        <v/>
      </c>
      <c r="M23" s="58" t="str">
        <f>IF($C23="","",VLOOKUP($C23,CTBat!$G$10:$BR$203,M$4,FALSE))</f>
        <v/>
      </c>
      <c r="N23" s="37" t="str">
        <f>IF($C23="","",VLOOKUP($C23,CTBat!$G$10:$BR$203,N$4,FALSE))</f>
        <v/>
      </c>
      <c r="O23" s="37" t="str">
        <f>IF($C23="","",VLOOKUP($C23,CTBat!$G$10:$BR$203,O$4,FALSE))</f>
        <v/>
      </c>
      <c r="P23" s="37" t="str">
        <f>IF($C23="","",VLOOKUP($C23,CTBat!$G$10:$BR$203,P$4,FALSE))</f>
        <v/>
      </c>
      <c r="Q23" s="37" t="str">
        <f>IF($C23="","",VLOOKUP($C23,CTBat!$G$10:$BR$203,Q$4,FALSE))</f>
        <v/>
      </c>
      <c r="R23" s="37" t="str">
        <f>IF($C23="","",VLOOKUP($C23,CTBat!$G$10:$BR$203,R$4,FALSE))</f>
        <v/>
      </c>
      <c r="S23" s="37" t="str">
        <f>IF($C23="","",VLOOKUP($C23,CTBat!$G$10:$BR$203,S$4,FALSE))</f>
        <v/>
      </c>
      <c r="T23" s="38" t="str">
        <f>IF($C23="","",VLOOKUP($C23,CTBat!$G$10:$BR$203,T$4,FALSE))</f>
        <v/>
      </c>
      <c r="U23" s="275" t="str">
        <f t="shared" ref="U23:U27" si="49">IF($C23="","",IF(OR(AD23+AG23&gt;14,AND(OR(AD23+AG23&gt;12,AND(AD23&gt;6,AG23&gt;6)),AI23&gt;6,OR(AJ23&gt;=AI23,AJ23&gt;6))),1,0))</f>
        <v/>
      </c>
      <c r="V23" s="275" t="str">
        <f t="shared" si="27"/>
        <v/>
      </c>
      <c r="W23" s="275" t="str">
        <f t="shared" si="46"/>
        <v/>
      </c>
      <c r="X23" s="275" t="str">
        <f t="shared" si="28"/>
        <v/>
      </c>
      <c r="Y23" s="275" t="str">
        <f t="shared" si="29"/>
        <v/>
      </c>
      <c r="Z23" s="275" t="str">
        <f t="shared" si="30"/>
        <v/>
      </c>
      <c r="AA23" s="275" t="str">
        <f t="shared" si="31"/>
        <v/>
      </c>
      <c r="AB23" s="275" t="str">
        <f t="shared" si="32"/>
        <v/>
      </c>
      <c r="AC23" s="275" t="str">
        <f t="shared" si="33"/>
        <v/>
      </c>
      <c r="AD23" s="58" t="str">
        <f>IF($C23="","",VLOOKUP($C23,CTBat!$G$10:$BR$203,AD$4,FALSE))</f>
        <v/>
      </c>
      <c r="AE23" s="37" t="str">
        <f>IF($C23="","",VLOOKUP($C23,CTBat!$G$10:$BR$203,AE$4,FALSE))</f>
        <v/>
      </c>
      <c r="AF23" s="37" t="str">
        <f>IF($C23="","",VLOOKUP($C23,CTBat!$G$10:$BR$203,AF$4,FALSE))</f>
        <v/>
      </c>
      <c r="AG23" s="37" t="str">
        <f>IF($C23="","",VLOOKUP($C23,CTBat!$G$10:$BR$203,AG$4,FALSE))</f>
        <v/>
      </c>
      <c r="AH23" s="37" t="str">
        <f>IF($C23="","",VLOOKUP($C23,CTBat!$G$10:$BR$203,AH$4,FALSE))</f>
        <v/>
      </c>
      <c r="AI23" s="37" t="str">
        <f>IF($C23="","",VLOOKUP($C23,CTBat!$G$10:$BR$203,AI$4,FALSE))</f>
        <v/>
      </c>
      <c r="AJ23" s="38" t="str">
        <f>IF($C23="","",VLOOKUP($C23,CTBat!$G$10:$BR$203,AJ$4,FALSE))</f>
        <v/>
      </c>
      <c r="AK23" s="67" t="str">
        <f t="shared" si="47"/>
        <v/>
      </c>
      <c r="AL23" s="275" t="str">
        <f t="shared" si="34"/>
        <v/>
      </c>
      <c r="AM23" s="275" t="str">
        <f t="shared" si="35"/>
        <v/>
      </c>
      <c r="AN23" s="275" t="str">
        <f t="shared" si="36"/>
        <v/>
      </c>
      <c r="AO23" s="275" t="str">
        <f t="shared" si="37"/>
        <v/>
      </c>
      <c r="AP23" s="275" t="str">
        <f t="shared" si="38"/>
        <v/>
      </c>
      <c r="AQ23" s="275" t="str">
        <f t="shared" si="39"/>
        <v/>
      </c>
      <c r="AR23" s="275" t="str">
        <f t="shared" si="40"/>
        <v/>
      </c>
      <c r="AS23" s="275" t="str">
        <f t="shared" si="41"/>
        <v/>
      </c>
      <c r="AT23" s="275" t="str">
        <f t="shared" si="42"/>
        <v/>
      </c>
      <c r="AU23" s="58" t="str">
        <f>IF($C23="","",VLOOKUP($C23,CTBat!$G$10:$BR$203,AU$4,FALSE))</f>
        <v/>
      </c>
      <c r="AV23" s="37" t="str">
        <f>IF($C23="","",VLOOKUP($C23,CTBat!$G$10:$BR$203,AV$4,FALSE))</f>
        <v/>
      </c>
      <c r="AW23" s="37" t="str">
        <f>IF($C23="","",VLOOKUP($C23,CTBat!$G$10:$BR$203,AW$4,FALSE))</f>
        <v/>
      </c>
      <c r="AX23" s="37" t="str">
        <f>IF($C23="","",VLOOKUP($C23,CTBat!$G$10:$BR$203,AX$4,FALSE))</f>
        <v/>
      </c>
      <c r="AY23" s="38" t="str">
        <f>IF($C23="","",VLOOKUP($C23,CTBat!$G$10:$BR$203,AY$4,FALSE))</f>
        <v/>
      </c>
      <c r="AZ23" s="67" t="str">
        <f t="shared" si="43"/>
        <v/>
      </c>
    </row>
    <row r="24" spans="1:52">
      <c r="A24">
        <v>5</v>
      </c>
      <c r="B24" s="36" t="s">
        <v>101</v>
      </c>
      <c r="C24" s="65"/>
      <c r="D24" s="37" t="str">
        <f>IF($C24="","",VLOOKUP($C24,CTBat!$G$10:$BR$203,D$4,FALSE))</f>
        <v/>
      </c>
      <c r="E24" s="37" t="str">
        <f>IF($C24="","",VLOOKUP($C24,CTBat!$G$10:$BR$203,E$4,FALSE))</f>
        <v/>
      </c>
      <c r="F24" s="53" t="str">
        <f t="shared" si="44"/>
        <v/>
      </c>
      <c r="G24" s="275" t="str">
        <f t="shared" si="25"/>
        <v/>
      </c>
      <c r="H24" s="275" t="str">
        <f t="shared" si="48"/>
        <v/>
      </c>
      <c r="I24" s="276" t="str">
        <f t="shared" si="45"/>
        <v/>
      </c>
      <c r="J24" s="37" t="str">
        <f>IF($C24="","",VLOOKUP($C24,CTBat!$G$10:$BR$203,J$4,FALSE))</f>
        <v/>
      </c>
      <c r="K24" s="37" t="str">
        <f>IF($C24="","",VLOOKUP($C24,CTBat!$G$10:$BR$203,K$4,FALSE))</f>
        <v/>
      </c>
      <c r="L24" s="37" t="str">
        <f>IF($C24="","",VLOOKUP($C24,CTBat!$G$10:$BR$203,L$4,FALSE))</f>
        <v/>
      </c>
      <c r="M24" s="58" t="str">
        <f>IF($C24="","",VLOOKUP($C24,CTBat!$G$10:$BR$203,M$4,FALSE))</f>
        <v/>
      </c>
      <c r="N24" s="37" t="str">
        <f>IF($C24="","",VLOOKUP($C24,CTBat!$G$10:$BR$203,N$4,FALSE))</f>
        <v/>
      </c>
      <c r="O24" s="37" t="str">
        <f>IF($C24="","",VLOOKUP($C24,CTBat!$G$10:$BR$203,O$4,FALSE))</f>
        <v/>
      </c>
      <c r="P24" s="37" t="str">
        <f>IF($C24="","",VLOOKUP($C24,CTBat!$G$10:$BR$203,P$4,FALSE))</f>
        <v/>
      </c>
      <c r="Q24" s="37" t="str">
        <f>IF($C24="","",VLOOKUP($C24,CTBat!$G$10:$BR$203,Q$4,FALSE))</f>
        <v/>
      </c>
      <c r="R24" s="37" t="str">
        <f>IF($C24="","",VLOOKUP($C24,CTBat!$G$10:$BR$203,R$4,FALSE))</f>
        <v/>
      </c>
      <c r="S24" s="37" t="str">
        <f>IF($C24="","",VLOOKUP($C24,CTBat!$G$10:$BR$203,S$4,FALSE))</f>
        <v/>
      </c>
      <c r="T24" s="38" t="str">
        <f>IF($C24="","",VLOOKUP($C24,CTBat!$G$10:$BR$203,T$4,FALSE))</f>
        <v/>
      </c>
      <c r="U24" s="275" t="str">
        <f t="shared" si="49"/>
        <v/>
      </c>
      <c r="V24" s="275" t="str">
        <f t="shared" si="27"/>
        <v/>
      </c>
      <c r="W24" s="275" t="str">
        <f t="shared" si="46"/>
        <v/>
      </c>
      <c r="X24" s="275" t="str">
        <f t="shared" si="28"/>
        <v/>
      </c>
      <c r="Y24" s="275" t="str">
        <f t="shared" si="29"/>
        <v/>
      </c>
      <c r="Z24" s="275" t="str">
        <f t="shared" si="30"/>
        <v/>
      </c>
      <c r="AA24" s="275" t="str">
        <f t="shared" si="31"/>
        <v/>
      </c>
      <c r="AB24" s="275" t="str">
        <f t="shared" si="32"/>
        <v/>
      </c>
      <c r="AC24" s="275" t="str">
        <f t="shared" si="33"/>
        <v/>
      </c>
      <c r="AD24" s="58" t="str">
        <f>IF($C24="","",VLOOKUP($C24,CTBat!$G$10:$BR$203,AD$4,FALSE))</f>
        <v/>
      </c>
      <c r="AE24" s="37" t="str">
        <f>IF($C24="","",VLOOKUP($C24,CTBat!$G$10:$BR$203,AE$4,FALSE))</f>
        <v/>
      </c>
      <c r="AF24" s="37" t="str">
        <f>IF($C24="","",VLOOKUP($C24,CTBat!$G$10:$BR$203,AF$4,FALSE))</f>
        <v/>
      </c>
      <c r="AG24" s="37" t="str">
        <f>IF($C24="","",VLOOKUP($C24,CTBat!$G$10:$BR$203,AG$4,FALSE))</f>
        <v/>
      </c>
      <c r="AH24" s="37" t="str">
        <f>IF($C24="","",VLOOKUP($C24,CTBat!$G$10:$BR$203,AH$4,FALSE))</f>
        <v/>
      </c>
      <c r="AI24" s="37" t="str">
        <f>IF($C24="","",VLOOKUP($C24,CTBat!$G$10:$BR$203,AI$4,FALSE))</f>
        <v/>
      </c>
      <c r="AJ24" s="38" t="str">
        <f>IF($C24="","",VLOOKUP($C24,CTBat!$G$10:$BR$203,AJ$4,FALSE))</f>
        <v/>
      </c>
      <c r="AK24" s="67" t="str">
        <f t="shared" si="47"/>
        <v/>
      </c>
      <c r="AL24" s="275" t="str">
        <f t="shared" si="34"/>
        <v/>
      </c>
      <c r="AM24" s="275" t="str">
        <f t="shared" si="35"/>
        <v/>
      </c>
      <c r="AN24" s="275" t="str">
        <f t="shared" si="36"/>
        <v/>
      </c>
      <c r="AO24" s="275" t="str">
        <f t="shared" si="37"/>
        <v/>
      </c>
      <c r="AP24" s="275" t="str">
        <f t="shared" si="38"/>
        <v/>
      </c>
      <c r="AQ24" s="275" t="str">
        <f t="shared" si="39"/>
        <v/>
      </c>
      <c r="AR24" s="275" t="str">
        <f t="shared" si="40"/>
        <v/>
      </c>
      <c r="AS24" s="275" t="str">
        <f t="shared" si="41"/>
        <v/>
      </c>
      <c r="AT24" s="275" t="str">
        <f t="shared" si="42"/>
        <v/>
      </c>
      <c r="AU24" s="58" t="str">
        <f>IF($C24="","",VLOOKUP($C24,CTBat!$G$10:$BR$203,AU$4,FALSE))</f>
        <v/>
      </c>
      <c r="AV24" s="37" t="str">
        <f>IF($C24="","",VLOOKUP($C24,CTBat!$G$10:$BR$203,AV$4,FALSE))</f>
        <v/>
      </c>
      <c r="AW24" s="37" t="str">
        <f>IF($C24="","",VLOOKUP($C24,CTBat!$G$10:$BR$203,AW$4,FALSE))</f>
        <v/>
      </c>
      <c r="AX24" s="37" t="str">
        <f>IF($C24="","",VLOOKUP($C24,CTBat!$G$10:$BR$203,AX$4,FALSE))</f>
        <v/>
      </c>
      <c r="AY24" s="38" t="str">
        <f>IF($C24="","",VLOOKUP($C24,CTBat!$G$10:$BR$203,AY$4,FALSE))</f>
        <v/>
      </c>
      <c r="AZ24" s="67" t="str">
        <f t="shared" si="43"/>
        <v/>
      </c>
    </row>
    <row r="25" spans="1:52">
      <c r="A25">
        <v>6</v>
      </c>
      <c r="B25" s="36" t="s">
        <v>101</v>
      </c>
      <c r="C25" s="65"/>
      <c r="D25" s="37" t="str">
        <f>IF($C25="","",VLOOKUP($C25,CTBat!$G$10:$BR$203,D$4,FALSE))</f>
        <v/>
      </c>
      <c r="E25" s="37" t="str">
        <f>IF($C25="","",VLOOKUP($C25,CTBat!$G$10:$BR$203,E$4,FALSE))</f>
        <v/>
      </c>
      <c r="F25" s="53" t="str">
        <f t="shared" si="44"/>
        <v/>
      </c>
      <c r="G25" s="275" t="str">
        <f t="shared" si="25"/>
        <v/>
      </c>
      <c r="H25" s="275" t="str">
        <f t="shared" si="48"/>
        <v/>
      </c>
      <c r="I25" s="276" t="str">
        <f t="shared" si="45"/>
        <v/>
      </c>
      <c r="J25" s="37" t="str">
        <f>IF($C25="","",VLOOKUP($C25,CTBat!$G$10:$BR$203,J$4,FALSE))</f>
        <v/>
      </c>
      <c r="K25" s="37" t="str">
        <f>IF($C25="","",VLOOKUP($C25,CTBat!$G$10:$BR$203,K$4,FALSE))</f>
        <v/>
      </c>
      <c r="L25" s="37" t="str">
        <f>IF($C25="","",VLOOKUP($C25,CTBat!$G$10:$BR$203,L$4,FALSE))</f>
        <v/>
      </c>
      <c r="M25" s="58" t="str">
        <f>IF($C25="","",VLOOKUP($C25,CTBat!$G$10:$BR$203,M$4,FALSE))</f>
        <v/>
      </c>
      <c r="N25" s="37" t="str">
        <f>IF($C25="","",VLOOKUP($C25,CTBat!$G$10:$BR$203,N$4,FALSE))</f>
        <v/>
      </c>
      <c r="O25" s="37" t="str">
        <f>IF($C25="","",VLOOKUP($C25,CTBat!$G$10:$BR$203,O$4,FALSE))</f>
        <v/>
      </c>
      <c r="P25" s="37" t="str">
        <f>IF($C25="","",VLOOKUP($C25,CTBat!$G$10:$BR$203,P$4,FALSE))</f>
        <v/>
      </c>
      <c r="Q25" s="37" t="str">
        <f>IF($C25="","",VLOOKUP($C25,CTBat!$G$10:$BR$203,Q$4,FALSE))</f>
        <v/>
      </c>
      <c r="R25" s="37" t="str">
        <f>IF($C25="","",VLOOKUP($C25,CTBat!$G$10:$BR$203,R$4,FALSE))</f>
        <v/>
      </c>
      <c r="S25" s="37" t="str">
        <f>IF($C25="","",VLOOKUP($C25,CTBat!$G$10:$BR$203,S$4,FALSE))</f>
        <v/>
      </c>
      <c r="T25" s="38" t="str">
        <f>IF($C25="","",VLOOKUP($C25,CTBat!$G$10:$BR$203,T$4,FALSE))</f>
        <v/>
      </c>
      <c r="U25" s="275" t="str">
        <f t="shared" si="49"/>
        <v/>
      </c>
      <c r="V25" s="275" t="str">
        <f t="shared" si="27"/>
        <v/>
      </c>
      <c r="W25" s="275" t="str">
        <f t="shared" si="46"/>
        <v/>
      </c>
      <c r="X25" s="275" t="str">
        <f t="shared" si="28"/>
        <v/>
      </c>
      <c r="Y25" s="275" t="str">
        <f t="shared" si="29"/>
        <v/>
      </c>
      <c r="Z25" s="275" t="str">
        <f t="shared" si="30"/>
        <v/>
      </c>
      <c r="AA25" s="275" t="str">
        <f t="shared" si="31"/>
        <v/>
      </c>
      <c r="AB25" s="275" t="str">
        <f t="shared" si="32"/>
        <v/>
      </c>
      <c r="AC25" s="275" t="str">
        <f t="shared" si="33"/>
        <v/>
      </c>
      <c r="AD25" s="58" t="str">
        <f>IF($C25="","",VLOOKUP($C25,CTBat!$G$10:$BR$203,AD$4,FALSE))</f>
        <v/>
      </c>
      <c r="AE25" s="37" t="str">
        <f>IF($C25="","",VLOOKUP($C25,CTBat!$G$10:$BR$203,AE$4,FALSE))</f>
        <v/>
      </c>
      <c r="AF25" s="37" t="str">
        <f>IF($C25="","",VLOOKUP($C25,CTBat!$G$10:$BR$203,AF$4,FALSE))</f>
        <v/>
      </c>
      <c r="AG25" s="37" t="str">
        <f>IF($C25="","",VLOOKUP($C25,CTBat!$G$10:$BR$203,AG$4,FALSE))</f>
        <v/>
      </c>
      <c r="AH25" s="37" t="str">
        <f>IF($C25="","",VLOOKUP($C25,CTBat!$G$10:$BR$203,AH$4,FALSE))</f>
        <v/>
      </c>
      <c r="AI25" s="37" t="str">
        <f>IF($C25="","",VLOOKUP($C25,CTBat!$G$10:$BR$203,AI$4,FALSE))</f>
        <v/>
      </c>
      <c r="AJ25" s="38" t="str">
        <f>IF($C25="","",VLOOKUP($C25,CTBat!$G$10:$BR$203,AJ$4,FALSE))</f>
        <v/>
      </c>
      <c r="AK25" s="67" t="str">
        <f t="shared" si="47"/>
        <v/>
      </c>
      <c r="AL25" s="275" t="str">
        <f t="shared" si="34"/>
        <v/>
      </c>
      <c r="AM25" s="275" t="str">
        <f t="shared" si="35"/>
        <v/>
      </c>
      <c r="AN25" s="275" t="str">
        <f t="shared" si="36"/>
        <v/>
      </c>
      <c r="AO25" s="275" t="str">
        <f t="shared" si="37"/>
        <v/>
      </c>
      <c r="AP25" s="275" t="str">
        <f t="shared" si="38"/>
        <v/>
      </c>
      <c r="AQ25" s="275" t="str">
        <f t="shared" si="39"/>
        <v/>
      </c>
      <c r="AR25" s="275" t="str">
        <f t="shared" si="40"/>
        <v/>
      </c>
      <c r="AS25" s="275" t="str">
        <f t="shared" si="41"/>
        <v/>
      </c>
      <c r="AT25" s="275" t="str">
        <f t="shared" si="42"/>
        <v/>
      </c>
      <c r="AU25" s="58" t="str">
        <f>IF($C25="","",VLOOKUP($C25,CTBat!$G$10:$BR$203,AU$4,FALSE))</f>
        <v/>
      </c>
      <c r="AV25" s="37" t="str">
        <f>IF($C25="","",VLOOKUP($C25,CTBat!$G$10:$BR$203,AV$4,FALSE))</f>
        <v/>
      </c>
      <c r="AW25" s="37" t="str">
        <f>IF($C25="","",VLOOKUP($C25,CTBat!$G$10:$BR$203,AW$4,FALSE))</f>
        <v/>
      </c>
      <c r="AX25" s="37" t="str">
        <f>IF($C25="","",VLOOKUP($C25,CTBat!$G$10:$BR$203,AX$4,FALSE))</f>
        <v/>
      </c>
      <c r="AY25" s="38" t="str">
        <f>IF($C25="","",VLOOKUP($C25,CTBat!$G$10:$BR$203,AY$4,FALSE))</f>
        <v/>
      </c>
      <c r="AZ25" s="67" t="str">
        <f t="shared" si="43"/>
        <v/>
      </c>
    </row>
    <row r="26" spans="1:52">
      <c r="A26">
        <v>7</v>
      </c>
      <c r="B26" s="36" t="s">
        <v>101</v>
      </c>
      <c r="C26" s="65"/>
      <c r="D26" s="37" t="str">
        <f>IF($C26="","",VLOOKUP($C26,CTBat!$G$10:$BR$203,D$4,FALSE))</f>
        <v/>
      </c>
      <c r="E26" s="37" t="str">
        <f>IF($C26="","",VLOOKUP($C26,CTBat!$G$10:$BR$203,E$4,FALSE))</f>
        <v/>
      </c>
      <c r="F26" s="53" t="str">
        <f t="shared" si="44"/>
        <v/>
      </c>
      <c r="G26" s="275" t="str">
        <f t="shared" si="25"/>
        <v/>
      </c>
      <c r="H26" s="275" t="str">
        <f t="shared" si="48"/>
        <v/>
      </c>
      <c r="I26" s="276" t="str">
        <f t="shared" si="45"/>
        <v/>
      </c>
      <c r="J26" s="37" t="str">
        <f>IF($C26="","",VLOOKUP($C26,CTBat!$G$10:$BR$203,J$4,FALSE))</f>
        <v/>
      </c>
      <c r="K26" s="37" t="str">
        <f>IF($C26="","",VLOOKUP($C26,CTBat!$G$10:$BR$203,K$4,FALSE))</f>
        <v/>
      </c>
      <c r="L26" s="37" t="str">
        <f>IF($C26="","",VLOOKUP($C26,CTBat!$G$10:$BR$203,L$4,FALSE))</f>
        <v/>
      </c>
      <c r="M26" s="58" t="str">
        <f>IF($C26="","",VLOOKUP($C26,CTBat!$G$10:$BR$203,M$4,FALSE))</f>
        <v/>
      </c>
      <c r="N26" s="37" t="str">
        <f>IF($C26="","",VLOOKUP($C26,CTBat!$G$10:$BR$203,N$4,FALSE))</f>
        <v/>
      </c>
      <c r="O26" s="37" t="str">
        <f>IF($C26="","",VLOOKUP($C26,CTBat!$G$10:$BR$203,O$4,FALSE))</f>
        <v/>
      </c>
      <c r="P26" s="37" t="str">
        <f>IF($C26="","",VLOOKUP($C26,CTBat!$G$10:$BR$203,P$4,FALSE))</f>
        <v/>
      </c>
      <c r="Q26" s="37" t="str">
        <f>IF($C26="","",VLOOKUP($C26,CTBat!$G$10:$BR$203,Q$4,FALSE))</f>
        <v/>
      </c>
      <c r="R26" s="37" t="str">
        <f>IF($C26="","",VLOOKUP($C26,CTBat!$G$10:$BR$203,R$4,FALSE))</f>
        <v/>
      </c>
      <c r="S26" s="37" t="str">
        <f>IF($C26="","",VLOOKUP($C26,CTBat!$G$10:$BR$203,S$4,FALSE))</f>
        <v/>
      </c>
      <c r="T26" s="38" t="str">
        <f>IF($C26="","",VLOOKUP($C26,CTBat!$G$10:$BR$203,T$4,FALSE))</f>
        <v/>
      </c>
      <c r="U26" s="275" t="str">
        <f t="shared" si="49"/>
        <v/>
      </c>
      <c r="V26" s="275" t="str">
        <f t="shared" si="27"/>
        <v/>
      </c>
      <c r="W26" s="275" t="str">
        <f t="shared" si="46"/>
        <v/>
      </c>
      <c r="X26" s="275" t="str">
        <f t="shared" si="28"/>
        <v/>
      </c>
      <c r="Y26" s="275" t="str">
        <f t="shared" si="29"/>
        <v/>
      </c>
      <c r="Z26" s="275" t="str">
        <f t="shared" si="30"/>
        <v/>
      </c>
      <c r="AA26" s="275" t="str">
        <f t="shared" si="31"/>
        <v/>
      </c>
      <c r="AB26" s="275" t="str">
        <f t="shared" si="32"/>
        <v/>
      </c>
      <c r="AC26" s="275" t="str">
        <f t="shared" si="33"/>
        <v/>
      </c>
      <c r="AD26" s="58" t="str">
        <f>IF($C26="","",VLOOKUP($C26,CTBat!$G$10:$BR$203,AD$4,FALSE))</f>
        <v/>
      </c>
      <c r="AE26" s="37" t="str">
        <f>IF($C26="","",VLOOKUP($C26,CTBat!$G$10:$BR$203,AE$4,FALSE))</f>
        <v/>
      </c>
      <c r="AF26" s="37" t="str">
        <f>IF($C26="","",VLOOKUP($C26,CTBat!$G$10:$BR$203,AF$4,FALSE))</f>
        <v/>
      </c>
      <c r="AG26" s="37" t="str">
        <f>IF($C26="","",VLOOKUP($C26,CTBat!$G$10:$BR$203,AG$4,FALSE))</f>
        <v/>
      </c>
      <c r="AH26" s="37" t="str">
        <f>IF($C26="","",VLOOKUP($C26,CTBat!$G$10:$BR$203,AH$4,FALSE))</f>
        <v/>
      </c>
      <c r="AI26" s="37" t="str">
        <f>IF($C26="","",VLOOKUP($C26,CTBat!$G$10:$BR$203,AI$4,FALSE))</f>
        <v/>
      </c>
      <c r="AJ26" s="38" t="str">
        <f>IF($C26="","",VLOOKUP($C26,CTBat!$G$10:$BR$203,AJ$4,FALSE))</f>
        <v/>
      </c>
      <c r="AK26" s="67" t="str">
        <f t="shared" si="47"/>
        <v/>
      </c>
      <c r="AL26" s="275" t="str">
        <f t="shared" si="34"/>
        <v/>
      </c>
      <c r="AM26" s="275" t="str">
        <f t="shared" si="35"/>
        <v/>
      </c>
      <c r="AN26" s="275" t="str">
        <f t="shared" si="36"/>
        <v/>
      </c>
      <c r="AO26" s="275" t="str">
        <f t="shared" si="37"/>
        <v/>
      </c>
      <c r="AP26" s="275" t="str">
        <f t="shared" si="38"/>
        <v/>
      </c>
      <c r="AQ26" s="275" t="str">
        <f t="shared" si="39"/>
        <v/>
      </c>
      <c r="AR26" s="275" t="str">
        <f t="shared" si="40"/>
        <v/>
      </c>
      <c r="AS26" s="275" t="str">
        <f t="shared" si="41"/>
        <v/>
      </c>
      <c r="AT26" s="275" t="str">
        <f t="shared" si="42"/>
        <v/>
      </c>
      <c r="AU26" s="58" t="str">
        <f>IF($C26="","",VLOOKUP($C26,CTBat!$G$10:$BR$203,AU$4,FALSE))</f>
        <v/>
      </c>
      <c r="AV26" s="37" t="str">
        <f>IF($C26="","",VLOOKUP($C26,CTBat!$G$10:$BR$203,AV$4,FALSE))</f>
        <v/>
      </c>
      <c r="AW26" s="37" t="str">
        <f>IF($C26="","",VLOOKUP($C26,CTBat!$G$10:$BR$203,AW$4,FALSE))</f>
        <v/>
      </c>
      <c r="AX26" s="37" t="str">
        <f>IF($C26="","",VLOOKUP($C26,CTBat!$G$10:$BR$203,AX$4,FALSE))</f>
        <v/>
      </c>
      <c r="AY26" s="38" t="str">
        <f>IF($C26="","",VLOOKUP($C26,CTBat!$G$10:$BR$203,AY$4,FALSE))</f>
        <v/>
      </c>
      <c r="AZ26" s="67" t="str">
        <f t="shared" si="43"/>
        <v/>
      </c>
    </row>
    <row r="27" spans="1:52">
      <c r="A27">
        <v>8</v>
      </c>
      <c r="B27" s="39" t="s">
        <v>101</v>
      </c>
      <c r="C27" s="40"/>
      <c r="D27" s="40" t="str">
        <f>IF($C27="","",VLOOKUP($C27,CTBat!$G$10:$BR$203,D$4,FALSE))</f>
        <v/>
      </c>
      <c r="E27" s="40" t="str">
        <f>IF($C27="","",VLOOKUP($C27,CTBat!$G$10:$BR$203,E$4,FALSE))</f>
        <v/>
      </c>
      <c r="F27" s="54" t="str">
        <f t="shared" si="44"/>
        <v/>
      </c>
      <c r="G27" s="273" t="str">
        <f>IF($C27="","",IF(Q27&lt;&gt;"-",1,0))</f>
        <v/>
      </c>
      <c r="H27" s="273" t="str">
        <f t="shared" si="48"/>
        <v/>
      </c>
      <c r="I27" s="274" t="str">
        <f t="shared" si="45"/>
        <v/>
      </c>
      <c r="J27" s="40" t="str">
        <f>IF($C27="","",VLOOKUP($C27,CTBat!$G$10:$BR$203,J$4,FALSE))</f>
        <v/>
      </c>
      <c r="K27" s="40" t="str">
        <f>IF($C27="","",VLOOKUP($C27,CTBat!$G$10:$BR$203,K$4,FALSE))</f>
        <v/>
      </c>
      <c r="L27" s="40" t="str">
        <f>IF($C27="","",VLOOKUP($C27,CTBat!$G$10:$BR$203,L$4,FALSE))</f>
        <v/>
      </c>
      <c r="M27" s="59" t="str">
        <f>IF($C27="","",VLOOKUP($C27,CTBat!$G$10:$BR$203,M$4,FALSE))</f>
        <v/>
      </c>
      <c r="N27" s="40" t="str">
        <f>IF($C27="","",VLOOKUP($C27,CTBat!$G$10:$BR$203,N$4,FALSE))</f>
        <v/>
      </c>
      <c r="O27" s="40" t="str">
        <f>IF($C27="","",VLOOKUP($C27,CTBat!$G$10:$BR$203,O$4,FALSE))</f>
        <v/>
      </c>
      <c r="P27" s="40" t="str">
        <f>IF($C27="","",VLOOKUP($C27,CTBat!$G$10:$BR$203,P$4,FALSE))</f>
        <v/>
      </c>
      <c r="Q27" s="40" t="str">
        <f>IF($C27="","",VLOOKUP($C27,CTBat!$G$10:$BR$203,Q$4,FALSE))</f>
        <v/>
      </c>
      <c r="R27" s="40" t="str">
        <f>IF($C27="","",VLOOKUP($C27,CTBat!$G$10:$BR$203,R$4,FALSE))</f>
        <v/>
      </c>
      <c r="S27" s="40" t="str">
        <f>IF($C27="","",VLOOKUP($C27,CTBat!$G$10:$BR$203,S$4,FALSE))</f>
        <v/>
      </c>
      <c r="T27" s="42" t="str">
        <f>IF($C27="","",VLOOKUP($C27,CTBat!$G$10:$BR$203,T$4,FALSE))</f>
        <v/>
      </c>
      <c r="U27" s="273" t="str">
        <f t="shared" si="49"/>
        <v/>
      </c>
      <c r="V27" s="273" t="str">
        <f t="shared" si="27"/>
        <v/>
      </c>
      <c r="W27" s="273" t="str">
        <f t="shared" si="46"/>
        <v/>
      </c>
      <c r="X27" s="273" t="str">
        <f t="shared" si="28"/>
        <v/>
      </c>
      <c r="Y27" s="273" t="str">
        <f t="shared" si="29"/>
        <v/>
      </c>
      <c r="Z27" s="273" t="str">
        <f t="shared" si="30"/>
        <v/>
      </c>
      <c r="AA27" s="273" t="str">
        <f t="shared" si="31"/>
        <v/>
      </c>
      <c r="AB27" s="273" t="str">
        <f t="shared" si="32"/>
        <v/>
      </c>
      <c r="AC27" s="273" t="str">
        <f t="shared" si="33"/>
        <v/>
      </c>
      <c r="AD27" s="59" t="str">
        <f>IF($C27="","",VLOOKUP($C27,CTBat!$G$10:$BR$203,AD$4,FALSE))</f>
        <v/>
      </c>
      <c r="AE27" s="40" t="str">
        <f>IF($C27="","",VLOOKUP($C27,CTBat!$G$10:$BR$203,AE$4,FALSE))</f>
        <v/>
      </c>
      <c r="AF27" s="40" t="str">
        <f>IF($C27="","",VLOOKUP($C27,CTBat!$G$10:$BR$203,AF$4,FALSE))</f>
        <v/>
      </c>
      <c r="AG27" s="40" t="str">
        <f>IF($C27="","",VLOOKUP($C27,CTBat!$G$10:$BR$203,AG$4,FALSE))</f>
        <v/>
      </c>
      <c r="AH27" s="40" t="str">
        <f>IF($C27="","",VLOOKUP($C27,CTBat!$G$10:$BR$203,AH$4,FALSE))</f>
        <v/>
      </c>
      <c r="AI27" s="40" t="str">
        <f>IF($C27="","",VLOOKUP($C27,CTBat!$G$10:$BR$203,AI$4,FALSE))</f>
        <v/>
      </c>
      <c r="AJ27" s="42" t="str">
        <f>IF($C27="","",VLOOKUP($C27,CTBat!$G$10:$BR$203,AJ$4,FALSE))</f>
        <v/>
      </c>
      <c r="AK27" s="68" t="str">
        <f t="shared" si="47"/>
        <v/>
      </c>
      <c r="AL27" s="273" t="str">
        <f t="shared" si="34"/>
        <v/>
      </c>
      <c r="AM27" s="273" t="str">
        <f t="shared" si="35"/>
        <v/>
      </c>
      <c r="AN27" s="273" t="str">
        <f t="shared" si="36"/>
        <v/>
      </c>
      <c r="AO27" s="273" t="str">
        <f t="shared" si="37"/>
        <v/>
      </c>
      <c r="AP27" s="273" t="str">
        <f t="shared" si="38"/>
        <v/>
      </c>
      <c r="AQ27" s="273" t="str">
        <f t="shared" si="39"/>
        <v/>
      </c>
      <c r="AR27" s="273" t="str">
        <f t="shared" si="40"/>
        <v/>
      </c>
      <c r="AS27" s="273" t="str">
        <f t="shared" si="41"/>
        <v/>
      </c>
      <c r="AT27" s="273" t="str">
        <f t="shared" si="42"/>
        <v/>
      </c>
      <c r="AU27" s="59" t="str">
        <f>IF($C27="","",VLOOKUP($C27,CTBat!$G$10:$BR$203,AU$4,FALSE))</f>
        <v/>
      </c>
      <c r="AV27" s="40" t="str">
        <f>IF($C27="","",VLOOKUP($C27,CTBat!$G$10:$BR$203,AV$4,FALSE))</f>
        <v/>
      </c>
      <c r="AW27" s="40" t="str">
        <f>IF($C27="","",VLOOKUP($C27,CTBat!$G$10:$BR$203,AW$4,FALSE))</f>
        <v/>
      </c>
      <c r="AX27" s="40" t="str">
        <f>IF($C27="","",VLOOKUP($C27,CTBat!$G$10:$BR$203,AX$4,FALSE))</f>
        <v/>
      </c>
      <c r="AY27" s="42" t="str">
        <f>IF($C27="","",VLOOKUP($C27,CTBat!$G$10:$BR$203,AY$4,FALSE))</f>
        <v/>
      </c>
      <c r="AZ27" s="68" t="str">
        <f t="shared" si="43"/>
        <v/>
      </c>
    </row>
    <row r="29" spans="1:52" ht="196.5">
      <c r="A29" s="25" t="s">
        <v>193</v>
      </c>
      <c r="B29" s="270" t="s">
        <v>133</v>
      </c>
      <c r="C29" s="44" t="str">
        <f>"Player ("&amp;COUNTA(C30:C33)&amp;")"</f>
        <v>Player (1)</v>
      </c>
      <c r="D29" s="44" t="s">
        <v>91</v>
      </c>
      <c r="E29" s="44" t="s">
        <v>101</v>
      </c>
      <c r="F29" s="64" t="str">
        <f>"Strong C Arm ("&amp;SUM(F30:F33)&amp;")"</f>
        <v>Strong C Arm (1)</v>
      </c>
      <c r="G29" s="48" t="s">
        <v>41</v>
      </c>
      <c r="H29" s="48" t="s">
        <v>41</v>
      </c>
      <c r="I29" s="48" t="s">
        <v>41</v>
      </c>
      <c r="J29" s="55" t="s">
        <v>136</v>
      </c>
      <c r="K29" s="47" t="s">
        <v>134</v>
      </c>
      <c r="L29" s="56" t="s">
        <v>135</v>
      </c>
      <c r="M29" s="48" t="s">
        <v>92</v>
      </c>
      <c r="N29" s="48" t="s">
        <v>94</v>
      </c>
      <c r="O29" s="48" t="s">
        <v>95</v>
      </c>
      <c r="P29" s="48" t="s">
        <v>96</v>
      </c>
      <c r="Q29" s="48" t="s">
        <v>97</v>
      </c>
      <c r="R29" s="48" t="s">
        <v>98</v>
      </c>
      <c r="S29" s="48" t="s">
        <v>99</v>
      </c>
      <c r="T29" s="49" t="s">
        <v>100</v>
      </c>
      <c r="U29" s="45" t="s">
        <v>137</v>
      </c>
      <c r="V29" s="45" t="s">
        <v>181</v>
      </c>
      <c r="W29" s="45" t="s">
        <v>138</v>
      </c>
      <c r="X29" s="45" t="s">
        <v>139</v>
      </c>
      <c r="Y29" s="45" t="s">
        <v>140</v>
      </c>
      <c r="Z29" s="45" t="s">
        <v>141</v>
      </c>
      <c r="AA29" s="45" t="s">
        <v>142</v>
      </c>
      <c r="AB29" s="45" t="s">
        <v>144</v>
      </c>
      <c r="AC29" s="60" t="s">
        <v>143</v>
      </c>
      <c r="AD29" s="48" t="s">
        <v>147</v>
      </c>
      <c r="AE29" s="48" t="s">
        <v>148</v>
      </c>
      <c r="AF29" s="48" t="s">
        <v>149</v>
      </c>
      <c r="AG29" s="48" t="s">
        <v>150</v>
      </c>
      <c r="AH29" s="48" t="s">
        <v>29</v>
      </c>
      <c r="AI29" s="48" t="s">
        <v>151</v>
      </c>
      <c r="AJ29" s="49" t="s">
        <v>152</v>
      </c>
      <c r="AK29" s="66" t="s">
        <v>157</v>
      </c>
      <c r="AL29" s="45" t="s">
        <v>137</v>
      </c>
      <c r="AM29" s="45" t="s">
        <v>181</v>
      </c>
      <c r="AN29" s="45" t="s">
        <v>138</v>
      </c>
      <c r="AO29" s="45" t="s">
        <v>139</v>
      </c>
      <c r="AP29" s="45" t="s">
        <v>140</v>
      </c>
      <c r="AQ29" s="45" t="s">
        <v>141</v>
      </c>
      <c r="AR29" s="45" t="s">
        <v>142</v>
      </c>
      <c r="AS29" s="45" t="s">
        <v>144</v>
      </c>
      <c r="AT29" s="60" t="s">
        <v>143</v>
      </c>
      <c r="AU29" s="63" t="s">
        <v>147</v>
      </c>
      <c r="AV29" s="48" t="s">
        <v>148</v>
      </c>
      <c r="AW29" s="48" t="s">
        <v>149</v>
      </c>
      <c r="AX29" s="48" t="s">
        <v>150</v>
      </c>
      <c r="AY29" s="49" t="s">
        <v>29</v>
      </c>
      <c r="AZ29" s="66" t="s">
        <v>197</v>
      </c>
    </row>
    <row r="30" spans="1:52">
      <c r="A30">
        <v>1</v>
      </c>
      <c r="B30" s="36" t="s">
        <v>92</v>
      </c>
      <c r="C30" s="37" t="s">
        <v>523</v>
      </c>
      <c r="D30" s="37">
        <f>IF($C30="","",VLOOKUP($C30,CTBat!$G$10:$BR$203,D$4,FALSE))</f>
        <v>22</v>
      </c>
      <c r="E30" s="37" t="str">
        <f>IF($C30="","",VLOOKUP($C30,CTBat!$G$10:$BR$203,E$4,FALSE))</f>
        <v>R</v>
      </c>
      <c r="F30" s="53">
        <f>IF($C30="","",IF(J30&gt;5,1,0))</f>
        <v>1</v>
      </c>
      <c r="G30" s="275" t="str">
        <f t="shared" ref="G30:H33" si="50">IF($C30="","","-")</f>
        <v>-</v>
      </c>
      <c r="H30" s="275" t="str">
        <f t="shared" si="50"/>
        <v>-</v>
      </c>
      <c r="I30" s="275" t="str">
        <f>IF($C30="","","-")</f>
        <v>-</v>
      </c>
      <c r="J30" s="58">
        <f>IF($C30="","",VLOOKUP($C30,CTBat!$G$10:$BR$203,J$4,FALSE))</f>
        <v>8</v>
      </c>
      <c r="K30" s="37">
        <f>IF($C30="","",VLOOKUP($C30,CTBat!$G$10:$BR$203,K$4,FALSE))</f>
        <v>6</v>
      </c>
      <c r="L30" s="38">
        <f>IF($C30="","",VLOOKUP($C30,CTBat!$G$10:$BR$203,L$4,FALSE))</f>
        <v>6</v>
      </c>
      <c r="M30" s="37">
        <f>IF($C30="","",VLOOKUP($C30,CTBat!$G$10:$BR$203,M$4,FALSE))</f>
        <v>6</v>
      </c>
      <c r="N30" s="37" t="str">
        <f>IF($C30="","",VLOOKUP($C30,CTBat!$G$10:$BR$203,N$4,FALSE))</f>
        <v>-</v>
      </c>
      <c r="O30" s="37" t="str">
        <f>IF($C30="","",VLOOKUP($C30,CTBat!$G$10:$BR$203,O$4,FALSE))</f>
        <v>-</v>
      </c>
      <c r="P30" s="37" t="str">
        <f>IF($C30="","",VLOOKUP($C30,CTBat!$G$10:$BR$203,P$4,FALSE))</f>
        <v>-</v>
      </c>
      <c r="Q30" s="37" t="str">
        <f>IF($C30="","",VLOOKUP($C30,CTBat!$G$10:$BR$203,Q$4,FALSE))</f>
        <v>-</v>
      </c>
      <c r="R30" s="37" t="str">
        <f>IF($C30="","",VLOOKUP($C30,CTBat!$G$10:$BR$203,R$4,FALSE))</f>
        <v>-</v>
      </c>
      <c r="S30" s="37" t="str">
        <f>IF($C30="","",VLOOKUP($C30,CTBat!$G$10:$BR$203,S$4,FALSE))</f>
        <v>-</v>
      </c>
      <c r="T30" s="38" t="str">
        <f>IF($C30="","",VLOOKUP($C30,CTBat!$G$10:$BR$203,T$4,FALSE))</f>
        <v>-</v>
      </c>
      <c r="U30" s="275">
        <f t="shared" ref="U30:U33" si="51">IF($C30="","",IF(OR(AD30+AG30&gt;14,AND(OR(AD30+AG30&gt;12,AND(AD30&gt;6,AG30&gt;6)),AI30&gt;6,OR(AJ30&gt;=AI30,AJ30&gt;6))),1,0))</f>
        <v>0</v>
      </c>
      <c r="V30" s="275">
        <f t="shared" ref="V30:V33" si="52">IF($C30="","",IF(OR(AND(AD30&gt;6,AH30&gt;6),AD30+AG30&gt;12),1,0))</f>
        <v>0</v>
      </c>
      <c r="W30" s="275">
        <f t="shared" ref="W30:W33" si="53">IF($C30="","",IF(AND(AD30&gt;6,AF30&gt;6,AG30&gt;6),1,0))</f>
        <v>0</v>
      </c>
      <c r="X30" s="275">
        <f t="shared" ref="X30:X33" si="54">IF($C30="","",IF(AND(AF30&gt;7,OR(AD30&gt;6,AG30&gt;6)),1,0))</f>
        <v>0</v>
      </c>
      <c r="Y30" s="275">
        <f t="shared" ref="Y30:Y33" si="55">IF($C30="","",IF(AND(AF30&gt;6,OR(AD30&gt;6,AG30&gt;6)),1,0))</f>
        <v>0</v>
      </c>
      <c r="Z30" s="275">
        <f t="shared" ref="Z30:Z33" si="56">IF($C30="","",IF(AND(OR(AD30&gt;6,AF30&gt;6),OR(AD30&gt;6,AG30&gt;6)),1,0))</f>
        <v>0</v>
      </c>
      <c r="AA30" s="275">
        <f t="shared" ref="AA30:AA33" si="57">IF($C30="","",IF(AND(AD30&gt;4,OR(AD30&gt;6,AF30&gt;6,AG30&gt;6)),1,0))</f>
        <v>0</v>
      </c>
      <c r="AB30" s="275">
        <f t="shared" ref="AB30:AB33" si="58">IF($C30="","",IF(AND(AD30&gt;4,OR(AD30&gt;6,AE30&gt;6,AF30&gt;6,AG30&gt;6)),1,0))</f>
        <v>0</v>
      </c>
      <c r="AC30" s="276">
        <f t="shared" ref="AC30:AC33" si="59">IF($C30="","",IF(AND(AD30&gt;4,MAX(AD30:AH30)&gt;6),1,0))</f>
        <v>0</v>
      </c>
      <c r="AD30" s="37">
        <f>IF($C30="","",VLOOKUP($C30,CTBat!$G$10:$BR$203,AD$4,FALSE))</f>
        <v>4</v>
      </c>
      <c r="AE30" s="37">
        <f>IF($C30="","",VLOOKUP($C30,CTBat!$G$10:$BR$203,AE$4,FALSE))</f>
        <v>5</v>
      </c>
      <c r="AF30" s="37">
        <f>IF($C30="","",VLOOKUP($C30,CTBat!$G$10:$BR$203,AF$4,FALSE))</f>
        <v>3</v>
      </c>
      <c r="AG30" s="37">
        <f>IF($C30="","",VLOOKUP($C30,CTBat!$G$10:$BR$203,AG$4,FALSE))</f>
        <v>3</v>
      </c>
      <c r="AH30" s="37">
        <f>IF($C30="","",VLOOKUP($C30,CTBat!$G$10:$BR$203,AH$4,FALSE))</f>
        <v>3</v>
      </c>
      <c r="AI30" s="37">
        <f>IF($C30="","",VLOOKUP($C30,CTBat!$G$10:$BR$203,AI$4,FALSE))</f>
        <v>4</v>
      </c>
      <c r="AJ30" s="38">
        <f>IF($C30="","",VLOOKUP($C30,CTBat!$G$10:$BR$203,AJ$4,FALSE))</f>
        <v>4</v>
      </c>
      <c r="AK30" s="67">
        <f>IF($C30="","",(5*AD30+4*AF30+3*AG30+2*AE30+1*AH30+0.5*(AVERAGE(AD30:AE30))+0.5*AVERAGE(AD30,AH30)+1*(AVERAGE(AD30,AF30))+1*AVERAGE(AD30,AG30))/(5+4+3+2+1+0.5+0.5+1+1))</f>
        <v>3.6111111111111112</v>
      </c>
      <c r="AL30" s="275">
        <f t="shared" ref="AL30:AL33" si="60">IF($C30="","",IF(AND(OR(AU30+AX30&gt;12,AND(AU30&gt;6,AX30&gt;6)),AI30&gt;6,OR(AJ30&gt;=AI30,AJ30&gt;6)),1,0))</f>
        <v>0</v>
      </c>
      <c r="AM30" s="275">
        <f t="shared" ref="AM30:AM33" si="61">IF($C30="","",IF(OR(AND(AU30&gt;6,AY30&gt;6),AU30+AX30&gt;12),1,0))</f>
        <v>0</v>
      </c>
      <c r="AN30" s="275">
        <f t="shared" ref="AN30:AN33" si="62">IF($C30="","",IF(AND(AU30&gt;6,AW30&gt;6,AX30&gt;6),1,0))</f>
        <v>0</v>
      </c>
      <c r="AO30" s="275">
        <f t="shared" ref="AO30:AO33" si="63">IF($C30="","",IF(AND(AW30&gt;7,OR(AU30&gt;6,AX30&gt;6)),1,0))</f>
        <v>0</v>
      </c>
      <c r="AP30" s="275">
        <f t="shared" ref="AP30:AP33" si="64">IF($C30="","",IF(AND(AW30&gt;6,OR(AU30&gt;6,AX30&gt;6)),1,0))</f>
        <v>0</v>
      </c>
      <c r="AQ30" s="275">
        <f t="shared" ref="AQ30:AQ33" si="65">IF($C30="","",IF(AND(OR(AU30&gt;6,AW30&gt;6),OR(AU30&gt;6,AX30&gt;6)),1,0))</f>
        <v>0</v>
      </c>
      <c r="AR30" s="275">
        <f t="shared" ref="AR30:AR33" si="66">IF($C30="","",IF(AND(AU30&gt;4,OR(AU30&gt;6,AW30&gt;6,AX30&gt;6)),1,0))</f>
        <v>0</v>
      </c>
      <c r="AS30" s="275">
        <f t="shared" ref="AS30:AS33" si="67">IF($C30="","",IF(AND(AU30&gt;4,OR(AU30&gt;6,AV30&gt;6,AW30&gt;6,AX30&gt;6)),1,0))</f>
        <v>1</v>
      </c>
      <c r="AT30" s="276">
        <f t="shared" ref="AT30:AT33" si="68">IF($C30="","",IF(AND(AU30&gt;4,MAX(AU30:AY30)&gt;6),1,0))</f>
        <v>1</v>
      </c>
      <c r="AU30" s="58">
        <f>IF($C30="","",VLOOKUP($C30,CTBat!$G$10:$BR$203,AU$4,FALSE))</f>
        <v>5</v>
      </c>
      <c r="AV30" s="37">
        <f>IF($C30="","",VLOOKUP($C30,CTBat!$G$10:$BR$203,AV$4,FALSE))</f>
        <v>7</v>
      </c>
      <c r="AW30" s="37">
        <f>IF($C30="","",VLOOKUP($C30,CTBat!$G$10:$BR$203,AW$4,FALSE))</f>
        <v>5</v>
      </c>
      <c r="AX30" s="37">
        <f>IF($C30="","",VLOOKUP($C30,CTBat!$G$10:$BR$203,AX$4,FALSE))</f>
        <v>5</v>
      </c>
      <c r="AY30" s="38">
        <f>IF($C30="","",VLOOKUP($C30,CTBat!$G$10:$BR$203,AY$4,FALSE))</f>
        <v>4</v>
      </c>
      <c r="AZ30" s="67">
        <f t="shared" ref="AZ30:AZ33" si="69">IF($C30="","",(5*AU30+4*AW30+3*AX30+2*AV30+1*AY30+0.5*(AVERAGE(AU30:AV30))+0.5*AVERAGE(AU30,AY30)+1*(AVERAGE(AU30,AW30))+1*AVERAGE(AU30,AX30))/(5+4+3+2+1+0.5+0.5+1+1))</f>
        <v>5.1805555555555554</v>
      </c>
    </row>
    <row r="31" spans="1:52">
      <c r="A31">
        <v>2</v>
      </c>
      <c r="B31" s="36" t="s">
        <v>101</v>
      </c>
      <c r="C31" s="37"/>
      <c r="D31" s="37" t="str">
        <f>IF($C31="","",VLOOKUP($C31,CTBat!$G$10:$BR$203,D$4,FALSE))</f>
        <v/>
      </c>
      <c r="E31" s="37" t="str">
        <f>IF($C31="","",VLOOKUP($C31,CTBat!$G$10:$BR$203,E$4,FALSE))</f>
        <v/>
      </c>
      <c r="F31" s="53" t="str">
        <f>IF($C31="","",IF(J31&gt;5,1,0))</f>
        <v/>
      </c>
      <c r="G31" s="275" t="str">
        <f t="shared" si="50"/>
        <v/>
      </c>
      <c r="H31" s="275" t="str">
        <f t="shared" si="50"/>
        <v/>
      </c>
      <c r="I31" s="275" t="str">
        <f>IF($C31="","","-")</f>
        <v/>
      </c>
      <c r="J31" s="58" t="str">
        <f>IF($C31="","",VLOOKUP($C31,CTBat!$G$10:$BR$203,J$4,FALSE))</f>
        <v/>
      </c>
      <c r="K31" s="37" t="str">
        <f>IF($C31="","",VLOOKUP($C31,CTBat!$G$10:$BR$203,K$4,FALSE))</f>
        <v/>
      </c>
      <c r="L31" s="38" t="str">
        <f>IF($C31="","",VLOOKUP($C31,CTBat!$G$10:$BR$203,L$4,FALSE))</f>
        <v/>
      </c>
      <c r="M31" s="37" t="str">
        <f>IF($C31="","",VLOOKUP($C31,CTBat!$G$10:$BR$203,M$4,FALSE))</f>
        <v/>
      </c>
      <c r="N31" s="37" t="str">
        <f>IF($C31="","",VLOOKUP($C31,CTBat!$G$10:$BR$203,N$4,FALSE))</f>
        <v/>
      </c>
      <c r="O31" s="37" t="str">
        <f>IF($C31="","",VLOOKUP($C31,CTBat!$G$10:$BR$203,O$4,FALSE))</f>
        <v/>
      </c>
      <c r="P31" s="37" t="str">
        <f>IF($C31="","",VLOOKUP($C31,CTBat!$G$10:$BR$203,P$4,FALSE))</f>
        <v/>
      </c>
      <c r="Q31" s="37" t="str">
        <f>IF($C31="","",VLOOKUP($C31,CTBat!$G$10:$BR$203,Q$4,FALSE))</f>
        <v/>
      </c>
      <c r="R31" s="37" t="str">
        <f>IF($C31="","",VLOOKUP($C31,CTBat!$G$10:$BR$203,R$4,FALSE))</f>
        <v/>
      </c>
      <c r="S31" s="37" t="str">
        <f>IF($C31="","",VLOOKUP($C31,CTBat!$G$10:$BR$203,S$4,FALSE))</f>
        <v/>
      </c>
      <c r="T31" s="38" t="str">
        <f>IF($C31="","",VLOOKUP($C31,CTBat!$G$10:$BR$203,T$4,FALSE))</f>
        <v/>
      </c>
      <c r="U31" s="275" t="str">
        <f t="shared" si="51"/>
        <v/>
      </c>
      <c r="V31" s="275" t="str">
        <f t="shared" si="52"/>
        <v/>
      </c>
      <c r="W31" s="275" t="str">
        <f t="shared" si="53"/>
        <v/>
      </c>
      <c r="X31" s="275" t="str">
        <f t="shared" si="54"/>
        <v/>
      </c>
      <c r="Y31" s="275" t="str">
        <f t="shared" si="55"/>
        <v/>
      </c>
      <c r="Z31" s="275" t="str">
        <f t="shared" si="56"/>
        <v/>
      </c>
      <c r="AA31" s="275" t="str">
        <f t="shared" si="57"/>
        <v/>
      </c>
      <c r="AB31" s="275" t="str">
        <f t="shared" si="58"/>
        <v/>
      </c>
      <c r="AC31" s="276" t="str">
        <f t="shared" si="59"/>
        <v/>
      </c>
      <c r="AD31" s="37" t="str">
        <f>IF($C31="","",VLOOKUP($C31,CTBat!$G$10:$BR$203,AD$4,FALSE))</f>
        <v/>
      </c>
      <c r="AE31" s="37" t="str">
        <f>IF($C31="","",VLOOKUP($C31,CTBat!$G$10:$BR$203,AE$4,FALSE))</f>
        <v/>
      </c>
      <c r="AF31" s="37" t="str">
        <f>IF($C31="","",VLOOKUP($C31,CTBat!$G$10:$BR$203,AF$4,FALSE))</f>
        <v/>
      </c>
      <c r="AG31" s="37" t="str">
        <f>IF($C31="","",VLOOKUP($C31,CTBat!$G$10:$BR$203,AG$4,FALSE))</f>
        <v/>
      </c>
      <c r="AH31" s="37" t="str">
        <f>IF($C31="","",VLOOKUP($C31,CTBat!$G$10:$BR$203,AH$4,FALSE))</f>
        <v/>
      </c>
      <c r="AI31" s="37" t="str">
        <f>IF($C31="","",VLOOKUP($C31,CTBat!$G$10:$BR$203,AI$4,FALSE))</f>
        <v/>
      </c>
      <c r="AJ31" s="38" t="str">
        <f>IF($C31="","",VLOOKUP($C31,CTBat!$G$10:$BR$203,AJ$4,FALSE))</f>
        <v/>
      </c>
      <c r="AK31" s="67" t="str">
        <f t="shared" ref="AK31:AK33" si="70">IF($C31="","",(5*AD31+4*AF31+3*AG31+2*AE31+1*AH31+0.5*(AVERAGE(AD31:AE31))+0.5*AVERAGE(AD31,AH31)+1*(AVERAGE(AD31,AF31))+1*AVERAGE(AD31,AG31))/(5+4+3+2+1+0.5+0.5+1+1))</f>
        <v/>
      </c>
      <c r="AL31" s="275" t="str">
        <f t="shared" si="60"/>
        <v/>
      </c>
      <c r="AM31" s="275" t="str">
        <f t="shared" si="61"/>
        <v/>
      </c>
      <c r="AN31" s="275" t="str">
        <f t="shared" si="62"/>
        <v/>
      </c>
      <c r="AO31" s="275" t="str">
        <f t="shared" si="63"/>
        <v/>
      </c>
      <c r="AP31" s="275" t="str">
        <f t="shared" si="64"/>
        <v/>
      </c>
      <c r="AQ31" s="275" t="str">
        <f t="shared" si="65"/>
        <v/>
      </c>
      <c r="AR31" s="275" t="str">
        <f t="shared" si="66"/>
        <v/>
      </c>
      <c r="AS31" s="275" t="str">
        <f t="shared" si="67"/>
        <v/>
      </c>
      <c r="AT31" s="276" t="str">
        <f t="shared" si="68"/>
        <v/>
      </c>
      <c r="AU31" s="58" t="str">
        <f>IF($C31="","",VLOOKUP($C31,CTBat!$G$10:$BR$203,AU$4,FALSE))</f>
        <v/>
      </c>
      <c r="AV31" s="37" t="str">
        <f>IF($C31="","",VLOOKUP($C31,CTBat!$G$10:$BR$203,AV$4,FALSE))</f>
        <v/>
      </c>
      <c r="AW31" s="37" t="str">
        <f>IF($C31="","",VLOOKUP($C31,CTBat!$G$10:$BR$203,AW$4,FALSE))</f>
        <v/>
      </c>
      <c r="AX31" s="37" t="str">
        <f>IF($C31="","",VLOOKUP($C31,CTBat!$G$10:$BR$203,AX$4,FALSE))</f>
        <v/>
      </c>
      <c r="AY31" s="38" t="str">
        <f>IF($C31="","",VLOOKUP($C31,CTBat!$G$10:$BR$203,AY$4,FALSE))</f>
        <v/>
      </c>
      <c r="AZ31" s="67" t="str">
        <f t="shared" si="69"/>
        <v/>
      </c>
    </row>
    <row r="32" spans="1:52">
      <c r="A32">
        <v>3</v>
      </c>
      <c r="B32" s="36" t="s">
        <v>101</v>
      </c>
      <c r="C32" s="37"/>
      <c r="D32" s="37" t="str">
        <f>IF($C32="","",VLOOKUP($C32,CTBat!$G$10:$BR$203,D$4,FALSE))</f>
        <v/>
      </c>
      <c r="E32" s="37" t="str">
        <f>IF($C32="","",VLOOKUP($C32,CTBat!$G$10:$BR$203,E$4,FALSE))</f>
        <v/>
      </c>
      <c r="F32" s="53" t="str">
        <f>IF($C32="","",IF(J32&gt;5,1,0))</f>
        <v/>
      </c>
      <c r="G32" s="275" t="str">
        <f t="shared" si="50"/>
        <v/>
      </c>
      <c r="H32" s="275" t="str">
        <f t="shared" si="50"/>
        <v/>
      </c>
      <c r="I32" s="275" t="str">
        <f>IF($C32="","","-")</f>
        <v/>
      </c>
      <c r="J32" s="58" t="str">
        <f>IF($C32="","",VLOOKUP($C32,CTBat!$G$10:$BR$203,J$4,FALSE))</f>
        <v/>
      </c>
      <c r="K32" s="37" t="str">
        <f>IF($C32="","",VLOOKUP($C32,CTBat!$G$10:$BR$203,K$4,FALSE))</f>
        <v/>
      </c>
      <c r="L32" s="38" t="str">
        <f>IF($C32="","",VLOOKUP($C32,CTBat!$G$10:$BR$203,L$4,FALSE))</f>
        <v/>
      </c>
      <c r="M32" s="37" t="str">
        <f>IF($C32="","",VLOOKUP($C32,CTBat!$G$10:$BR$203,M$4,FALSE))</f>
        <v/>
      </c>
      <c r="N32" s="37" t="str">
        <f>IF($C32="","",VLOOKUP($C32,CTBat!$G$10:$BR$203,N$4,FALSE))</f>
        <v/>
      </c>
      <c r="O32" s="37" t="str">
        <f>IF($C32="","",VLOOKUP($C32,CTBat!$G$10:$BR$203,O$4,FALSE))</f>
        <v/>
      </c>
      <c r="P32" s="37" t="str">
        <f>IF($C32="","",VLOOKUP($C32,CTBat!$G$10:$BR$203,P$4,FALSE))</f>
        <v/>
      </c>
      <c r="Q32" s="37" t="str">
        <f>IF($C32="","",VLOOKUP($C32,CTBat!$G$10:$BR$203,Q$4,FALSE))</f>
        <v/>
      </c>
      <c r="R32" s="37" t="str">
        <f>IF($C32="","",VLOOKUP($C32,CTBat!$G$10:$BR$203,R$4,FALSE))</f>
        <v/>
      </c>
      <c r="S32" s="37" t="str">
        <f>IF($C32="","",VLOOKUP($C32,CTBat!$G$10:$BR$203,S$4,FALSE))</f>
        <v/>
      </c>
      <c r="T32" s="38" t="str">
        <f>IF($C32="","",VLOOKUP($C32,CTBat!$G$10:$BR$203,T$4,FALSE))</f>
        <v/>
      </c>
      <c r="U32" s="275" t="str">
        <f t="shared" si="51"/>
        <v/>
      </c>
      <c r="V32" s="275" t="str">
        <f t="shared" si="52"/>
        <v/>
      </c>
      <c r="W32" s="275" t="str">
        <f t="shared" si="53"/>
        <v/>
      </c>
      <c r="X32" s="275" t="str">
        <f t="shared" si="54"/>
        <v/>
      </c>
      <c r="Y32" s="275" t="str">
        <f t="shared" si="55"/>
        <v/>
      </c>
      <c r="Z32" s="275" t="str">
        <f t="shared" si="56"/>
        <v/>
      </c>
      <c r="AA32" s="275" t="str">
        <f t="shared" si="57"/>
        <v/>
      </c>
      <c r="AB32" s="275" t="str">
        <f t="shared" si="58"/>
        <v/>
      </c>
      <c r="AC32" s="276" t="str">
        <f t="shared" si="59"/>
        <v/>
      </c>
      <c r="AD32" s="37" t="str">
        <f>IF($C32="","",VLOOKUP($C32,CTBat!$G$10:$BR$203,AD$4,FALSE))</f>
        <v/>
      </c>
      <c r="AE32" s="37" t="str">
        <f>IF($C32="","",VLOOKUP($C32,CTBat!$G$10:$BR$203,AE$4,FALSE))</f>
        <v/>
      </c>
      <c r="AF32" s="37" t="str">
        <f>IF($C32="","",VLOOKUP($C32,CTBat!$G$10:$BR$203,AF$4,FALSE))</f>
        <v/>
      </c>
      <c r="AG32" s="37" t="str">
        <f>IF($C32="","",VLOOKUP($C32,CTBat!$G$10:$BR$203,AG$4,FALSE))</f>
        <v/>
      </c>
      <c r="AH32" s="37" t="str">
        <f>IF($C32="","",VLOOKUP($C32,CTBat!$G$10:$BR$203,AH$4,FALSE))</f>
        <v/>
      </c>
      <c r="AI32" s="37" t="str">
        <f>IF($C32="","",VLOOKUP($C32,CTBat!$G$10:$BR$203,AI$4,FALSE))</f>
        <v/>
      </c>
      <c r="AJ32" s="38" t="str">
        <f>IF($C32="","",VLOOKUP($C32,CTBat!$G$10:$BR$203,AJ$4,FALSE))</f>
        <v/>
      </c>
      <c r="AK32" s="67" t="str">
        <f t="shared" si="70"/>
        <v/>
      </c>
      <c r="AL32" s="275" t="str">
        <f t="shared" si="60"/>
        <v/>
      </c>
      <c r="AM32" s="275" t="str">
        <f t="shared" si="61"/>
        <v/>
      </c>
      <c r="AN32" s="275" t="str">
        <f t="shared" si="62"/>
        <v/>
      </c>
      <c r="AO32" s="275" t="str">
        <f t="shared" si="63"/>
        <v/>
      </c>
      <c r="AP32" s="275" t="str">
        <f t="shared" si="64"/>
        <v/>
      </c>
      <c r="AQ32" s="275" t="str">
        <f t="shared" si="65"/>
        <v/>
      </c>
      <c r="AR32" s="275" t="str">
        <f t="shared" si="66"/>
        <v/>
      </c>
      <c r="AS32" s="275" t="str">
        <f t="shared" si="67"/>
        <v/>
      </c>
      <c r="AT32" s="276" t="str">
        <f t="shared" si="68"/>
        <v/>
      </c>
      <c r="AU32" s="58" t="str">
        <f>IF($C32="","",VLOOKUP($C32,CTBat!$G$10:$BR$203,AU$4,FALSE))</f>
        <v/>
      </c>
      <c r="AV32" s="37" t="str">
        <f>IF($C32="","",VLOOKUP($C32,CTBat!$G$10:$BR$203,AV$4,FALSE))</f>
        <v/>
      </c>
      <c r="AW32" s="37" t="str">
        <f>IF($C32="","",VLOOKUP($C32,CTBat!$G$10:$BR$203,AW$4,FALSE))</f>
        <v/>
      </c>
      <c r="AX32" s="37" t="str">
        <f>IF($C32="","",VLOOKUP($C32,CTBat!$G$10:$BR$203,AX$4,FALSE))</f>
        <v/>
      </c>
      <c r="AY32" s="38" t="str">
        <f>IF($C32="","",VLOOKUP($C32,CTBat!$G$10:$BR$203,AY$4,FALSE))</f>
        <v/>
      </c>
      <c r="AZ32" s="67" t="str">
        <f t="shared" si="69"/>
        <v/>
      </c>
    </row>
    <row r="33" spans="1:52">
      <c r="A33">
        <v>4</v>
      </c>
      <c r="B33" s="39" t="s">
        <v>101</v>
      </c>
      <c r="C33" s="40"/>
      <c r="D33" s="40" t="str">
        <f>IF($C33="","",VLOOKUP($C33,CTBat!$G$10:$BR$203,D$4,FALSE))</f>
        <v/>
      </c>
      <c r="E33" s="40" t="str">
        <f>IF($C33="","",VLOOKUP($C33,CTBat!$G$10:$BR$203,E$4,FALSE))</f>
        <v/>
      </c>
      <c r="F33" s="54" t="str">
        <f>IF($C33="","",IF(J33&gt;5,1,0))</f>
        <v/>
      </c>
      <c r="G33" s="273" t="str">
        <f t="shared" si="50"/>
        <v/>
      </c>
      <c r="H33" s="273" t="str">
        <f t="shared" si="50"/>
        <v/>
      </c>
      <c r="I33" s="273" t="str">
        <f>IF($C33="","","-")</f>
        <v/>
      </c>
      <c r="J33" s="59" t="str">
        <f>IF($C33="","",VLOOKUP($C33,CTBat!$G$10:$BR$203,J$4,FALSE))</f>
        <v/>
      </c>
      <c r="K33" s="40" t="str">
        <f>IF($C33="","",VLOOKUP($C33,CTBat!$G$10:$BR$203,K$4,FALSE))</f>
        <v/>
      </c>
      <c r="L33" s="42" t="str">
        <f>IF($C33="","",VLOOKUP($C33,CTBat!$G$10:$BR$203,L$4,FALSE))</f>
        <v/>
      </c>
      <c r="M33" s="40" t="str">
        <f>IF($C33="","",VLOOKUP($C33,CTBat!$G$10:$BR$203,M$4,FALSE))</f>
        <v/>
      </c>
      <c r="N33" s="40" t="str">
        <f>IF($C33="","",VLOOKUP($C33,CTBat!$G$10:$BR$203,N$4,FALSE))</f>
        <v/>
      </c>
      <c r="O33" s="40" t="str">
        <f>IF($C33="","",VLOOKUP($C33,CTBat!$G$10:$BR$203,O$4,FALSE))</f>
        <v/>
      </c>
      <c r="P33" s="40" t="str">
        <f>IF($C33="","",VLOOKUP($C33,CTBat!$G$10:$BR$203,P$4,FALSE))</f>
        <v/>
      </c>
      <c r="Q33" s="40" t="str">
        <f>IF($C33="","",VLOOKUP($C33,CTBat!$G$10:$BR$203,Q$4,FALSE))</f>
        <v/>
      </c>
      <c r="R33" s="40" t="str">
        <f>IF($C33="","",VLOOKUP($C33,CTBat!$G$10:$BR$203,R$4,FALSE))</f>
        <v/>
      </c>
      <c r="S33" s="40" t="str">
        <f>IF($C33="","",VLOOKUP($C33,CTBat!$G$10:$BR$203,S$4,FALSE))</f>
        <v/>
      </c>
      <c r="T33" s="42" t="str">
        <f>IF($C33="","",VLOOKUP($C33,CTBat!$G$10:$BR$203,T$4,FALSE))</f>
        <v/>
      </c>
      <c r="U33" s="273" t="str">
        <f t="shared" si="51"/>
        <v/>
      </c>
      <c r="V33" s="273" t="str">
        <f t="shared" si="52"/>
        <v/>
      </c>
      <c r="W33" s="273" t="str">
        <f t="shared" si="53"/>
        <v/>
      </c>
      <c r="X33" s="273" t="str">
        <f t="shared" si="54"/>
        <v/>
      </c>
      <c r="Y33" s="273" t="str">
        <f t="shared" si="55"/>
        <v/>
      </c>
      <c r="Z33" s="273" t="str">
        <f t="shared" si="56"/>
        <v/>
      </c>
      <c r="AA33" s="273" t="str">
        <f t="shared" si="57"/>
        <v/>
      </c>
      <c r="AB33" s="273" t="str">
        <f t="shared" si="58"/>
        <v/>
      </c>
      <c r="AC33" s="274" t="str">
        <f t="shared" si="59"/>
        <v/>
      </c>
      <c r="AD33" s="40" t="str">
        <f>IF($C33="","",VLOOKUP($C33,CTBat!$G$10:$BR$203,AD$4,FALSE))</f>
        <v/>
      </c>
      <c r="AE33" s="40" t="str">
        <f>IF($C33="","",VLOOKUP($C33,CTBat!$G$10:$BR$203,AE$4,FALSE))</f>
        <v/>
      </c>
      <c r="AF33" s="40" t="str">
        <f>IF($C33="","",VLOOKUP($C33,CTBat!$G$10:$BR$203,AF$4,FALSE))</f>
        <v/>
      </c>
      <c r="AG33" s="40" t="str">
        <f>IF($C33="","",VLOOKUP($C33,CTBat!$G$10:$BR$203,AG$4,FALSE))</f>
        <v/>
      </c>
      <c r="AH33" s="40" t="str">
        <f>IF($C33="","",VLOOKUP($C33,CTBat!$G$10:$BR$203,AH$4,FALSE))</f>
        <v/>
      </c>
      <c r="AI33" s="40" t="str">
        <f>IF($C33="","",VLOOKUP($C33,CTBat!$G$10:$BR$203,AI$4,FALSE))</f>
        <v/>
      </c>
      <c r="AJ33" s="42" t="str">
        <f>IF($C33="","",VLOOKUP($C33,CTBat!$G$10:$BR$203,AJ$4,FALSE))</f>
        <v/>
      </c>
      <c r="AK33" s="68" t="str">
        <f t="shared" si="70"/>
        <v/>
      </c>
      <c r="AL33" s="273" t="str">
        <f t="shared" si="60"/>
        <v/>
      </c>
      <c r="AM33" s="273" t="str">
        <f t="shared" si="61"/>
        <v/>
      </c>
      <c r="AN33" s="273" t="str">
        <f t="shared" si="62"/>
        <v/>
      </c>
      <c r="AO33" s="273" t="str">
        <f t="shared" si="63"/>
        <v/>
      </c>
      <c r="AP33" s="273" t="str">
        <f t="shared" si="64"/>
        <v/>
      </c>
      <c r="AQ33" s="273" t="str">
        <f t="shared" si="65"/>
        <v/>
      </c>
      <c r="AR33" s="273" t="str">
        <f t="shared" si="66"/>
        <v/>
      </c>
      <c r="AS33" s="273" t="str">
        <f t="shared" si="67"/>
        <v/>
      </c>
      <c r="AT33" s="274" t="str">
        <f t="shared" si="68"/>
        <v/>
      </c>
      <c r="AU33" s="59" t="str">
        <f>IF($C33="","",VLOOKUP($C33,CTBat!$G$10:$BR$203,AU$4,FALSE))</f>
        <v/>
      </c>
      <c r="AV33" s="40" t="str">
        <f>IF($C33="","",VLOOKUP($C33,CTBat!$G$10:$BR$203,AV$4,FALSE))</f>
        <v/>
      </c>
      <c r="AW33" s="40" t="str">
        <f>IF($C33="","",VLOOKUP($C33,CTBat!$G$10:$BR$203,AW$4,FALSE))</f>
        <v/>
      </c>
      <c r="AX33" s="40" t="str">
        <f>IF($C33="","",VLOOKUP($C33,CTBat!$G$10:$BR$203,AX$4,FALSE))</f>
        <v/>
      </c>
      <c r="AY33" s="42" t="str">
        <f>IF($C33="","",VLOOKUP($C33,CTBat!$G$10:$BR$203,AY$4,FALSE))</f>
        <v/>
      </c>
      <c r="AZ33" s="68" t="str">
        <f t="shared" si="69"/>
        <v/>
      </c>
    </row>
    <row r="35" spans="1:52" s="1" customFormat="1">
      <c r="B35" s="270" t="s">
        <v>155</v>
      </c>
      <c r="C35" s="44" t="s">
        <v>118</v>
      </c>
      <c r="D35" s="44" t="s">
        <v>119</v>
      </c>
      <c r="E35" s="50" t="s">
        <v>101</v>
      </c>
      <c r="F35" s="271" t="s">
        <v>156</v>
      </c>
      <c r="G35" s="271" t="s">
        <v>160</v>
      </c>
      <c r="H35" s="272" t="s">
        <v>158</v>
      </c>
      <c r="I35" s="88" t="s">
        <v>182</v>
      </c>
      <c r="J35" s="270" t="s">
        <v>92</v>
      </c>
      <c r="K35" s="271" t="s">
        <v>145</v>
      </c>
      <c r="L35" s="271" t="s">
        <v>146</v>
      </c>
      <c r="M35" s="271" t="s">
        <v>203</v>
      </c>
      <c r="N35" s="271" t="s">
        <v>93</v>
      </c>
      <c r="O35" s="270" t="s">
        <v>204</v>
      </c>
      <c r="P35" s="272" t="s">
        <v>205</v>
      </c>
      <c r="Q35" s="270" t="s">
        <v>213</v>
      </c>
      <c r="R35" s="87" t="s">
        <v>231</v>
      </c>
      <c r="T35" s="270" t="s">
        <v>119</v>
      </c>
      <c r="U35" s="270" t="s">
        <v>214</v>
      </c>
      <c r="V35" s="272" t="s">
        <v>235</v>
      </c>
      <c r="W35" s="271" t="s">
        <v>213</v>
      </c>
      <c r="X35" s="272" t="s">
        <v>231</v>
      </c>
      <c r="AG35" s="336" t="s">
        <v>348</v>
      </c>
      <c r="AH35" s="337"/>
      <c r="AI35" s="337"/>
      <c r="AJ35" s="337"/>
      <c r="AK35" s="337"/>
      <c r="AL35" s="337"/>
      <c r="AM35" s="337"/>
      <c r="AN35" s="337"/>
      <c r="AO35" s="337"/>
      <c r="AP35" s="337"/>
      <c r="AQ35" s="337"/>
      <c r="AR35" s="337"/>
      <c r="AS35" s="337"/>
      <c r="AT35" s="338"/>
    </row>
    <row r="36" spans="1:52">
      <c r="B36" s="36">
        <v>1</v>
      </c>
      <c r="C36" s="57"/>
      <c r="D36" s="33" t="s">
        <v>99</v>
      </c>
      <c r="E36" s="38" t="str">
        <f t="shared" ref="E36:E44" si="71">IF($C36="","",VLOOKUP($C36,$C$6:$AK$33,$E$4-2,FALSE))</f>
        <v/>
      </c>
      <c r="F36" s="275" t="str">
        <f t="shared" ref="F36:F44" si="72">IF($C36="","",VLOOKUP($C36,$C$6:$AK$33,18+$B36,FALSE))</f>
        <v/>
      </c>
      <c r="G36" s="275" t="str">
        <f t="shared" ref="G36:G44" si="73">IF($C36="","",IF(VLOOKUP($C36,$C$6:$AK$33,18+3,FALSE)=1,3,IF(VLOOKUP($C36,$C$6:$AK$33,18+4,FALSE)=1,4,IF(VLOOKUP($C36,$C$6:$AK$33,18+1,FALSE)=1,1,IF(VLOOKUP($C36,$C$6:$AK$33,18+5,FALSE)=1,5,IF(VLOOKUP($C36,$C$6:$AK$33,18+2,FALSE)=1,2,IF(VLOOKUP($C36,$C$6:$AK$33,18+6,FALSE)=1,6,IF(VLOOKUP($C36,$C$6:$AK$33,18+7,FALSE)=1,7,IF(VLOOKUP($C36,$C$6:$AK$33,18+8,FALSE)=1,8,9)))))))))</f>
        <v/>
      </c>
      <c r="H36" s="8" t="str">
        <f t="shared" ref="H36:H44" si="74">IF($C36="","",VLOOKUP($C36,$C$6:$AK$33,35,FALSE))</f>
        <v/>
      </c>
      <c r="I36" s="89">
        <v>3</v>
      </c>
      <c r="J36" s="53" t="str">
        <f t="shared" ref="J36:J44" si="75">IF($C36="","",VLOOKUP($C36,$C$6:$AZ$33,17+AD$4,FALSE))</f>
        <v/>
      </c>
      <c r="K36" s="275" t="str">
        <f t="shared" ref="K36:K44" si="76">IF($C36="","",VLOOKUP($C36,$C$6:$AZ$33,17+AE$4,FALSE))</f>
        <v/>
      </c>
      <c r="L36" s="275" t="str">
        <f t="shared" ref="L36:L44" si="77">IF($C36="","",VLOOKUP($C36,$C$6:$AZ$33,17+AF$4,FALSE))</f>
        <v/>
      </c>
      <c r="M36" s="275" t="str">
        <f t="shared" ref="M36:M44" si="78">IF($C36="","",VLOOKUP($C36,$C$6:$AZ$33,17+AG$4,FALSE))</f>
        <v/>
      </c>
      <c r="N36" s="275" t="str">
        <f t="shared" ref="N36:N44" si="79">IF($C36="","",VLOOKUP($C36,$C$6:$AZ$33,17+AH$4,FALSE))</f>
        <v/>
      </c>
      <c r="O36" s="53" t="str">
        <f t="shared" ref="O36:O44" si="80">IF($C36="","",VLOOKUP($C36,$C$6:$AZ$33,1+AI$4,FALSE))</f>
        <v/>
      </c>
      <c r="P36" s="276" t="str">
        <f t="shared" ref="P36:P44" si="81">IF($C36="","",VLOOKUP($C36,$C$6:$AZ$33,1+AJ$4,FALSE))</f>
        <v/>
      </c>
      <c r="Q36" s="116" t="str">
        <f t="shared" ref="Q36:Q44" si="82">IF($C36="","",IF($D36="DH","-",VLOOKUP($C36,$C$5:$AZ$33,9+VLOOKUP($D36,$T$35:$U$43,2,FALSE),FALSE)))</f>
        <v/>
      </c>
      <c r="R36" s="101" t="str">
        <f t="shared" ref="R36:R44" si="83">IF($C36="","",IF($D36="DH","-",VLOOKUP($C36,$C$5:$AZ$33,VLOOKUP($D36,$T$35:$V$43,3,FALSE),FALSE)))</f>
        <v/>
      </c>
      <c r="T36" s="53" t="s">
        <v>92</v>
      </c>
      <c r="U36" s="53">
        <v>2</v>
      </c>
      <c r="V36" s="276">
        <v>8</v>
      </c>
      <c r="W36" s="275" t="str">
        <f>VLOOKUP($T36,$D$35:$R$44,14,FALSE)</f>
        <v/>
      </c>
      <c r="X36" s="276" t="str">
        <f>VLOOKUP($T36,$D$35:$R$44,15,FALSE)</f>
        <v/>
      </c>
      <c r="AG36" s="201">
        <v>1</v>
      </c>
      <c r="AH36" s="331" t="s">
        <v>343</v>
      </c>
      <c r="AI36" s="331"/>
      <c r="AJ36" s="331"/>
      <c r="AK36" s="331"/>
      <c r="AL36" s="331"/>
      <c r="AM36" s="331"/>
      <c r="AN36" s="331"/>
      <c r="AO36" s="331"/>
      <c r="AP36" s="331"/>
      <c r="AQ36" s="331"/>
      <c r="AR36" s="331"/>
      <c r="AS36" s="331"/>
      <c r="AT36" s="332"/>
    </row>
    <row r="37" spans="1:52">
      <c r="B37" s="36">
        <v>2</v>
      </c>
      <c r="C37" s="58"/>
      <c r="D37" s="37" t="s">
        <v>18</v>
      </c>
      <c r="E37" s="38" t="str">
        <f t="shared" si="71"/>
        <v/>
      </c>
      <c r="F37" s="275" t="str">
        <f t="shared" si="72"/>
        <v/>
      </c>
      <c r="G37" s="275" t="str">
        <f t="shared" si="73"/>
        <v/>
      </c>
      <c r="H37" s="8" t="str">
        <f t="shared" si="74"/>
        <v/>
      </c>
      <c r="I37" s="89">
        <v>5</v>
      </c>
      <c r="J37" s="53" t="str">
        <f t="shared" si="75"/>
        <v/>
      </c>
      <c r="K37" s="275" t="str">
        <f t="shared" si="76"/>
        <v/>
      </c>
      <c r="L37" s="275" t="str">
        <f t="shared" si="77"/>
        <v/>
      </c>
      <c r="M37" s="275" t="str">
        <f t="shared" si="78"/>
        <v/>
      </c>
      <c r="N37" s="275" t="str">
        <f t="shared" si="79"/>
        <v/>
      </c>
      <c r="O37" s="53" t="str">
        <f t="shared" si="80"/>
        <v/>
      </c>
      <c r="P37" s="276" t="str">
        <f t="shared" si="81"/>
        <v/>
      </c>
      <c r="Q37" s="117" t="str">
        <f t="shared" si="82"/>
        <v/>
      </c>
      <c r="R37" s="101" t="str">
        <f t="shared" si="83"/>
        <v/>
      </c>
      <c r="T37" s="53" t="s">
        <v>94</v>
      </c>
      <c r="U37" s="53">
        <v>3</v>
      </c>
      <c r="V37" s="276">
        <v>9</v>
      </c>
      <c r="W37" s="275" t="str">
        <f t="shared" ref="W37:W43" si="84">VLOOKUP($T37,$D$35:$R$44,14,FALSE)</f>
        <v/>
      </c>
      <c r="X37" s="276" t="str">
        <f t="shared" ref="X37:X43" si="85">VLOOKUP($T37,$D$35:$R$44,15,FALSE)</f>
        <v/>
      </c>
      <c r="AG37" s="77">
        <v>2</v>
      </c>
      <c r="AH37" s="331" t="s">
        <v>344</v>
      </c>
      <c r="AI37" s="331"/>
      <c r="AJ37" s="331"/>
      <c r="AK37" s="331"/>
      <c r="AL37" s="331"/>
      <c r="AM37" s="331"/>
      <c r="AN37" s="331"/>
      <c r="AO37" s="331"/>
      <c r="AP37" s="331"/>
      <c r="AQ37" s="331"/>
      <c r="AR37" s="331"/>
      <c r="AS37" s="331"/>
      <c r="AT37" s="332"/>
    </row>
    <row r="38" spans="1:52">
      <c r="B38" s="36">
        <v>3</v>
      </c>
      <c r="C38" s="58"/>
      <c r="D38" s="37" t="s">
        <v>97</v>
      </c>
      <c r="E38" s="38" t="str">
        <f t="shared" si="71"/>
        <v/>
      </c>
      <c r="F38" s="275" t="str">
        <f t="shared" si="72"/>
        <v/>
      </c>
      <c r="G38" s="275" t="str">
        <f t="shared" si="73"/>
        <v/>
      </c>
      <c r="H38" s="8" t="str">
        <f t="shared" si="74"/>
        <v/>
      </c>
      <c r="I38" s="89">
        <v>1</v>
      </c>
      <c r="J38" s="53" t="str">
        <f t="shared" si="75"/>
        <v/>
      </c>
      <c r="K38" s="275" t="str">
        <f t="shared" si="76"/>
        <v/>
      </c>
      <c r="L38" s="275" t="str">
        <f t="shared" si="77"/>
        <v/>
      </c>
      <c r="M38" s="275" t="str">
        <f t="shared" si="78"/>
        <v/>
      </c>
      <c r="N38" s="275" t="str">
        <f t="shared" si="79"/>
        <v/>
      </c>
      <c r="O38" s="53" t="str">
        <f t="shared" si="80"/>
        <v/>
      </c>
      <c r="P38" s="276" t="str">
        <f t="shared" si="81"/>
        <v/>
      </c>
      <c r="Q38" s="117" t="str">
        <f t="shared" si="82"/>
        <v/>
      </c>
      <c r="R38" s="101" t="str">
        <f t="shared" si="83"/>
        <v/>
      </c>
      <c r="T38" s="53" t="s">
        <v>95</v>
      </c>
      <c r="U38" s="53">
        <v>4</v>
      </c>
      <c r="V38" s="276">
        <v>9</v>
      </c>
      <c r="W38" s="275" t="str">
        <f t="shared" si="84"/>
        <v/>
      </c>
      <c r="X38" s="276" t="str">
        <f t="shared" si="85"/>
        <v/>
      </c>
      <c r="AG38" s="77">
        <v>3</v>
      </c>
      <c r="AH38" s="331" t="s">
        <v>346</v>
      </c>
      <c r="AI38" s="331"/>
      <c r="AJ38" s="331"/>
      <c r="AK38" s="331"/>
      <c r="AL38" s="331"/>
      <c r="AM38" s="331"/>
      <c r="AN38" s="331"/>
      <c r="AO38" s="331"/>
      <c r="AP38" s="331"/>
      <c r="AQ38" s="331"/>
      <c r="AR38" s="331"/>
      <c r="AS38" s="331"/>
      <c r="AT38" s="332"/>
    </row>
    <row r="39" spans="1:52">
      <c r="B39" s="36">
        <v>4</v>
      </c>
      <c r="C39" s="58"/>
      <c r="D39" s="65" t="s">
        <v>94</v>
      </c>
      <c r="E39" s="38" t="str">
        <f t="shared" si="71"/>
        <v/>
      </c>
      <c r="F39" s="275" t="str">
        <f t="shared" si="72"/>
        <v/>
      </c>
      <c r="G39" s="275" t="str">
        <f t="shared" si="73"/>
        <v/>
      </c>
      <c r="H39" s="8" t="str">
        <f t="shared" si="74"/>
        <v/>
      </c>
      <c r="I39" s="89">
        <v>2</v>
      </c>
      <c r="J39" s="53" t="str">
        <f t="shared" si="75"/>
        <v/>
      </c>
      <c r="K39" s="275" t="str">
        <f t="shared" si="76"/>
        <v/>
      </c>
      <c r="L39" s="275" t="str">
        <f t="shared" si="77"/>
        <v/>
      </c>
      <c r="M39" s="275" t="str">
        <f t="shared" si="78"/>
        <v/>
      </c>
      <c r="N39" s="275" t="str">
        <f t="shared" si="79"/>
        <v/>
      </c>
      <c r="O39" s="53" t="str">
        <f t="shared" si="80"/>
        <v/>
      </c>
      <c r="P39" s="276" t="str">
        <f t="shared" si="81"/>
        <v/>
      </c>
      <c r="Q39" s="117" t="str">
        <f t="shared" si="82"/>
        <v/>
      </c>
      <c r="R39" s="101" t="str">
        <f t="shared" si="83"/>
        <v/>
      </c>
      <c r="T39" s="53" t="s">
        <v>96</v>
      </c>
      <c r="U39" s="53">
        <v>5</v>
      </c>
      <c r="V39" s="276">
        <v>9</v>
      </c>
      <c r="W39" s="275" t="str">
        <f t="shared" si="84"/>
        <v/>
      </c>
      <c r="X39" s="276" t="str">
        <f t="shared" si="85"/>
        <v/>
      </c>
      <c r="AG39" s="77">
        <v>4</v>
      </c>
      <c r="AH39" s="341" t="s">
        <v>345</v>
      </c>
      <c r="AI39" s="341"/>
      <c r="AJ39" s="341"/>
      <c r="AK39" s="341"/>
      <c r="AL39" s="341"/>
      <c r="AM39" s="341"/>
      <c r="AN39" s="341"/>
      <c r="AO39" s="341"/>
      <c r="AP39" s="341"/>
      <c r="AQ39" s="341"/>
      <c r="AR39" s="341"/>
      <c r="AS39" s="341"/>
      <c r="AT39" s="341"/>
    </row>
    <row r="40" spans="1:52">
      <c r="B40" s="36">
        <v>5</v>
      </c>
      <c r="C40" s="58"/>
      <c r="D40" s="65" t="s">
        <v>92</v>
      </c>
      <c r="E40" s="38" t="str">
        <f t="shared" si="71"/>
        <v/>
      </c>
      <c r="F40" s="275" t="str">
        <f t="shared" si="72"/>
        <v/>
      </c>
      <c r="G40" s="275" t="str">
        <f t="shared" si="73"/>
        <v/>
      </c>
      <c r="H40" s="8" t="str">
        <f t="shared" si="74"/>
        <v/>
      </c>
      <c r="I40" s="89">
        <v>4</v>
      </c>
      <c r="J40" s="53" t="str">
        <f t="shared" si="75"/>
        <v/>
      </c>
      <c r="K40" s="275" t="str">
        <f t="shared" si="76"/>
        <v/>
      </c>
      <c r="L40" s="275" t="str">
        <f t="shared" si="77"/>
        <v/>
      </c>
      <c r="M40" s="275" t="str">
        <f t="shared" si="78"/>
        <v/>
      </c>
      <c r="N40" s="275" t="str">
        <f t="shared" si="79"/>
        <v/>
      </c>
      <c r="O40" s="53" t="str">
        <f t="shared" si="80"/>
        <v/>
      </c>
      <c r="P40" s="276" t="str">
        <f t="shared" si="81"/>
        <v/>
      </c>
      <c r="Q40" s="117" t="str">
        <f t="shared" si="82"/>
        <v/>
      </c>
      <c r="R40" s="101" t="str">
        <f t="shared" si="83"/>
        <v/>
      </c>
      <c r="T40" s="53" t="s">
        <v>97</v>
      </c>
      <c r="U40" s="53">
        <v>6</v>
      </c>
      <c r="V40" s="276">
        <v>9</v>
      </c>
      <c r="W40" s="275" t="str">
        <f t="shared" si="84"/>
        <v/>
      </c>
      <c r="X40" s="276" t="str">
        <f t="shared" si="85"/>
        <v/>
      </c>
      <c r="AG40" s="78">
        <v>5</v>
      </c>
      <c r="AH40" s="334" t="s">
        <v>347</v>
      </c>
      <c r="AI40" s="334"/>
      <c r="AJ40" s="334"/>
      <c r="AK40" s="334"/>
      <c r="AL40" s="334"/>
      <c r="AM40" s="334"/>
      <c r="AN40" s="334"/>
      <c r="AO40" s="334"/>
      <c r="AP40" s="334"/>
      <c r="AQ40" s="334"/>
      <c r="AR40" s="334"/>
      <c r="AS40" s="334"/>
      <c r="AT40" s="335"/>
    </row>
    <row r="41" spans="1:52">
      <c r="B41" s="36">
        <v>6</v>
      </c>
      <c r="C41" s="58"/>
      <c r="D41" s="65" t="s">
        <v>100</v>
      </c>
      <c r="E41" s="38" t="str">
        <f t="shared" si="71"/>
        <v/>
      </c>
      <c r="F41" s="275" t="str">
        <f t="shared" si="72"/>
        <v/>
      </c>
      <c r="G41" s="275" t="str">
        <f t="shared" si="73"/>
        <v/>
      </c>
      <c r="H41" s="8" t="str">
        <f t="shared" si="74"/>
        <v/>
      </c>
      <c r="I41" s="89">
        <v>6</v>
      </c>
      <c r="J41" s="53" t="str">
        <f t="shared" si="75"/>
        <v/>
      </c>
      <c r="K41" s="275" t="str">
        <f t="shared" si="76"/>
        <v/>
      </c>
      <c r="L41" s="275" t="str">
        <f t="shared" si="77"/>
        <v/>
      </c>
      <c r="M41" s="275" t="str">
        <f t="shared" si="78"/>
        <v/>
      </c>
      <c r="N41" s="275" t="str">
        <f t="shared" si="79"/>
        <v/>
      </c>
      <c r="O41" s="53" t="str">
        <f t="shared" si="80"/>
        <v/>
      </c>
      <c r="P41" s="276" t="str">
        <f t="shared" si="81"/>
        <v/>
      </c>
      <c r="Q41" s="117" t="str">
        <f t="shared" si="82"/>
        <v/>
      </c>
      <c r="R41" s="101" t="str">
        <f t="shared" si="83"/>
        <v/>
      </c>
      <c r="T41" s="53" t="s">
        <v>98</v>
      </c>
      <c r="U41" s="53">
        <v>7</v>
      </c>
      <c r="V41" s="276">
        <v>10</v>
      </c>
      <c r="W41" s="275" t="str">
        <f t="shared" si="84"/>
        <v/>
      </c>
      <c r="X41" s="276" t="str">
        <f t="shared" si="85"/>
        <v/>
      </c>
    </row>
    <row r="42" spans="1:52">
      <c r="B42" s="36">
        <v>7</v>
      </c>
      <c r="C42" s="58"/>
      <c r="D42" s="65" t="s">
        <v>98</v>
      </c>
      <c r="E42" s="38" t="str">
        <f t="shared" si="71"/>
        <v/>
      </c>
      <c r="F42" s="275" t="str">
        <f t="shared" si="72"/>
        <v/>
      </c>
      <c r="G42" s="275" t="str">
        <f t="shared" si="73"/>
        <v/>
      </c>
      <c r="H42" s="8" t="str">
        <f t="shared" si="74"/>
        <v/>
      </c>
      <c r="I42" s="89">
        <v>7</v>
      </c>
      <c r="J42" s="53" t="str">
        <f t="shared" si="75"/>
        <v/>
      </c>
      <c r="K42" s="275" t="str">
        <f t="shared" si="76"/>
        <v/>
      </c>
      <c r="L42" s="275" t="str">
        <f t="shared" si="77"/>
        <v/>
      </c>
      <c r="M42" s="275" t="str">
        <f t="shared" si="78"/>
        <v/>
      </c>
      <c r="N42" s="275" t="str">
        <f t="shared" si="79"/>
        <v/>
      </c>
      <c r="O42" s="53" t="str">
        <f t="shared" si="80"/>
        <v/>
      </c>
      <c r="P42" s="276" t="str">
        <f t="shared" si="81"/>
        <v/>
      </c>
      <c r="Q42" s="117" t="str">
        <f t="shared" si="82"/>
        <v/>
      </c>
      <c r="R42" s="101" t="str">
        <f t="shared" si="83"/>
        <v/>
      </c>
      <c r="T42" s="53" t="s">
        <v>99</v>
      </c>
      <c r="U42" s="53">
        <v>8</v>
      </c>
      <c r="V42" s="276">
        <v>10</v>
      </c>
      <c r="W42" s="275" t="str">
        <f t="shared" si="84"/>
        <v/>
      </c>
      <c r="X42" s="276" t="str">
        <f t="shared" si="85"/>
        <v/>
      </c>
    </row>
    <row r="43" spans="1:52">
      <c r="B43" s="36">
        <v>8</v>
      </c>
      <c r="C43" s="58"/>
      <c r="D43" s="65" t="s">
        <v>96</v>
      </c>
      <c r="E43" s="38" t="str">
        <f t="shared" si="71"/>
        <v/>
      </c>
      <c r="F43" s="275" t="str">
        <f t="shared" si="72"/>
        <v/>
      </c>
      <c r="G43" s="275" t="str">
        <f t="shared" si="73"/>
        <v/>
      </c>
      <c r="H43" s="8" t="str">
        <f t="shared" si="74"/>
        <v/>
      </c>
      <c r="I43" s="89">
        <v>8</v>
      </c>
      <c r="J43" s="53" t="str">
        <f t="shared" si="75"/>
        <v/>
      </c>
      <c r="K43" s="275" t="str">
        <f t="shared" si="76"/>
        <v/>
      </c>
      <c r="L43" s="275" t="str">
        <f t="shared" si="77"/>
        <v/>
      </c>
      <c r="M43" s="275" t="str">
        <f t="shared" si="78"/>
        <v/>
      </c>
      <c r="N43" s="275" t="str">
        <f t="shared" si="79"/>
        <v/>
      </c>
      <c r="O43" s="53" t="str">
        <f t="shared" si="80"/>
        <v/>
      </c>
      <c r="P43" s="276" t="str">
        <f t="shared" si="81"/>
        <v/>
      </c>
      <c r="Q43" s="117" t="str">
        <f t="shared" si="82"/>
        <v/>
      </c>
      <c r="R43" s="101" t="str">
        <f t="shared" si="83"/>
        <v/>
      </c>
      <c r="T43" s="54" t="s">
        <v>100</v>
      </c>
      <c r="U43" s="54">
        <v>9</v>
      </c>
      <c r="V43" s="274">
        <v>10</v>
      </c>
      <c r="W43" s="273" t="str">
        <f t="shared" si="84"/>
        <v/>
      </c>
      <c r="X43" s="274" t="str">
        <f t="shared" si="85"/>
        <v/>
      </c>
    </row>
    <row r="44" spans="1:52">
      <c r="B44" s="39">
        <v>9</v>
      </c>
      <c r="C44" s="59"/>
      <c r="D44" s="40" t="s">
        <v>95</v>
      </c>
      <c r="E44" s="42" t="str">
        <f t="shared" si="71"/>
        <v/>
      </c>
      <c r="F44" s="273" t="str">
        <f t="shared" si="72"/>
        <v/>
      </c>
      <c r="G44" s="273" t="str">
        <f t="shared" si="73"/>
        <v/>
      </c>
      <c r="H44" s="69" t="str">
        <f t="shared" si="74"/>
        <v/>
      </c>
      <c r="I44" s="90">
        <v>9</v>
      </c>
      <c r="J44" s="54" t="str">
        <f t="shared" si="75"/>
        <v/>
      </c>
      <c r="K44" s="273" t="str">
        <f t="shared" si="76"/>
        <v/>
      </c>
      <c r="L44" s="273" t="str">
        <f t="shared" si="77"/>
        <v/>
      </c>
      <c r="M44" s="273" t="str">
        <f t="shared" si="78"/>
        <v/>
      </c>
      <c r="N44" s="273" t="str">
        <f t="shared" si="79"/>
        <v/>
      </c>
      <c r="O44" s="54" t="str">
        <f t="shared" si="80"/>
        <v/>
      </c>
      <c r="P44" s="274" t="str">
        <f t="shared" si="81"/>
        <v/>
      </c>
      <c r="Q44" s="118" t="str">
        <f t="shared" si="82"/>
        <v/>
      </c>
      <c r="R44" s="102" t="str">
        <f t="shared" si="83"/>
        <v/>
      </c>
    </row>
    <row r="45" spans="1:52">
      <c r="B45" s="4"/>
      <c r="C45" s="37"/>
      <c r="D45" s="37"/>
      <c r="E45" s="37"/>
      <c r="F45" s="275"/>
      <c r="G45" s="275"/>
      <c r="H45" s="9"/>
    </row>
    <row r="46" spans="1:52">
      <c r="B46" s="32" t="s">
        <v>194</v>
      </c>
      <c r="C46" s="35">
        <f>COUNTA(C6:C17,C20:C27,C30:C33)</f>
        <v>4</v>
      </c>
      <c r="D46" s="287">
        <f>C46/$C$48</f>
        <v>0.66666666666666663</v>
      </c>
      <c r="E46" s="37"/>
      <c r="F46" s="275"/>
      <c r="G46" s="275"/>
      <c r="H46" s="9"/>
    </row>
    <row r="47" spans="1:52">
      <c r="B47" s="36" t="s">
        <v>195</v>
      </c>
      <c r="C47" s="38">
        <f>COUNTA(C51:C56,C59:C60,C63:C72)</f>
        <v>2</v>
      </c>
      <c r="D47" s="287">
        <f>C47/$C$48</f>
        <v>0.33333333333333331</v>
      </c>
      <c r="E47" s="37"/>
      <c r="F47" s="275"/>
      <c r="G47" s="275"/>
      <c r="H47" s="9"/>
    </row>
    <row r="48" spans="1:52">
      <c r="B48" s="39" t="s">
        <v>196</v>
      </c>
      <c r="C48" s="42">
        <f>C46+C47</f>
        <v>6</v>
      </c>
      <c r="D48" s="37"/>
      <c r="E48" s="37"/>
      <c r="F48" s="275"/>
      <c r="G48" s="275"/>
      <c r="H48" s="9"/>
    </row>
    <row r="49" spans="1:33">
      <c r="I49">
        <v>6</v>
      </c>
      <c r="K49">
        <v>11</v>
      </c>
      <c r="L49">
        <v>12</v>
      </c>
      <c r="M49">
        <v>13</v>
      </c>
      <c r="N49">
        <v>17</v>
      </c>
      <c r="O49">
        <f>N49+2</f>
        <v>19</v>
      </c>
      <c r="P49">
        <f t="shared" ref="P49:Y49" si="86">O49+2</f>
        <v>21</v>
      </c>
      <c r="Q49">
        <f t="shared" si="86"/>
        <v>23</v>
      </c>
      <c r="R49">
        <f t="shared" si="86"/>
        <v>25</v>
      </c>
      <c r="S49">
        <f t="shared" si="86"/>
        <v>27</v>
      </c>
      <c r="T49">
        <f t="shared" si="86"/>
        <v>29</v>
      </c>
      <c r="U49">
        <f t="shared" si="86"/>
        <v>31</v>
      </c>
      <c r="V49">
        <f t="shared" si="86"/>
        <v>33</v>
      </c>
      <c r="W49">
        <f t="shared" si="86"/>
        <v>35</v>
      </c>
      <c r="X49">
        <f t="shared" si="86"/>
        <v>37</v>
      </c>
      <c r="Y49">
        <f t="shared" si="86"/>
        <v>39</v>
      </c>
      <c r="Z49">
        <v>41</v>
      </c>
      <c r="AA49">
        <v>42</v>
      </c>
      <c r="AB49">
        <v>43</v>
      </c>
      <c r="AC49">
        <v>46</v>
      </c>
      <c r="AD49">
        <v>14</v>
      </c>
      <c r="AE49">
        <v>15</v>
      </c>
      <c r="AF49">
        <v>16</v>
      </c>
      <c r="AG49">
        <v>48</v>
      </c>
    </row>
    <row r="50" spans="1:33" s="275" customFormat="1" ht="74.25">
      <c r="A50" s="73" t="s">
        <v>193</v>
      </c>
      <c r="B50" s="270" t="s">
        <v>126</v>
      </c>
      <c r="C50" s="44" t="s">
        <v>118</v>
      </c>
      <c r="D50" s="44" t="s">
        <v>91</v>
      </c>
      <c r="E50" s="50" t="s">
        <v>102</v>
      </c>
      <c r="F50" s="46" t="s">
        <v>183</v>
      </c>
      <c r="G50" s="46" t="s">
        <v>184</v>
      </c>
      <c r="H50" s="46" t="s">
        <v>185</v>
      </c>
      <c r="I50" s="76" t="s">
        <v>212</v>
      </c>
      <c r="J50" s="76" t="s">
        <v>189</v>
      </c>
      <c r="K50" s="74" t="s">
        <v>186</v>
      </c>
      <c r="L50" s="74" t="s">
        <v>187</v>
      </c>
      <c r="M50" s="75" t="s">
        <v>188</v>
      </c>
      <c r="N50" s="74" t="s">
        <v>60</v>
      </c>
      <c r="O50" s="74" t="s">
        <v>62</v>
      </c>
      <c r="P50" s="74" t="s">
        <v>64</v>
      </c>
      <c r="Q50" s="74" t="s">
        <v>66</v>
      </c>
      <c r="R50" s="74" t="s">
        <v>68</v>
      </c>
      <c r="S50" s="74" t="s">
        <v>108</v>
      </c>
      <c r="T50" s="74" t="s">
        <v>71</v>
      </c>
      <c r="U50" s="74" t="s">
        <v>73</v>
      </c>
      <c r="V50" s="74" t="s">
        <v>75</v>
      </c>
      <c r="W50" s="74" t="s">
        <v>77</v>
      </c>
      <c r="X50" s="74" t="s">
        <v>79</v>
      </c>
      <c r="Y50" s="75" t="s">
        <v>81</v>
      </c>
      <c r="Z50" s="79" t="s">
        <v>199</v>
      </c>
      <c r="AA50" s="74" t="s">
        <v>198</v>
      </c>
      <c r="AB50" s="75" t="s">
        <v>200</v>
      </c>
      <c r="AC50" s="288" t="s">
        <v>537</v>
      </c>
      <c r="AD50" s="74" t="s">
        <v>186</v>
      </c>
      <c r="AE50" s="74" t="s">
        <v>187</v>
      </c>
      <c r="AF50" s="75" t="s">
        <v>188</v>
      </c>
      <c r="AG50" s="288" t="s">
        <v>197</v>
      </c>
    </row>
    <row r="51" spans="1:33">
      <c r="A51" s="275">
        <v>1</v>
      </c>
      <c r="B51" s="36" t="s">
        <v>108</v>
      </c>
      <c r="C51" s="309" t="s">
        <v>530</v>
      </c>
      <c r="D51" s="37">
        <f>IF($C51="","",VLOOKUP($C51,CTPit!$E$10:$BG$214,D$4,FALSE))</f>
        <v>23</v>
      </c>
      <c r="E51" s="38" t="str">
        <f>IF($C51="","",VLOOKUP($C51,CTPit!$E$10:$BG$214,E$4+1,FALSE))</f>
        <v>R</v>
      </c>
      <c r="F51" s="275">
        <f>IF($C51="","",IF(AG51&gt;7,1,0))</f>
        <v>0</v>
      </c>
      <c r="G51" s="275">
        <f>IF($C51="","",IF(AG51&gt;6.5,1,0))</f>
        <v>0</v>
      </c>
      <c r="H51" s="275">
        <f>IF($C51="","",IF(AG51&gt;6,1,0))</f>
        <v>0</v>
      </c>
      <c r="I51" s="98" t="str">
        <f>IF($C51="","",VLOOKUP($C51,CTPit!$E$10:$BG$172,I$49,FALSE))</f>
        <v>R</v>
      </c>
      <c r="J51" s="77">
        <f t="shared" ref="J51:J56" si="87">IF($C51="","",COUNT(N51:Y51))</f>
        <v>4</v>
      </c>
      <c r="K51" s="275">
        <f>IF($C51="","",VLOOKUP($C51,CTPit!$E$10:$BG$172,K$49,FALSE))</f>
        <v>6</v>
      </c>
      <c r="L51" s="275">
        <f>IF($C51="","",VLOOKUP($C51,CTPit!$E$10:$BG$172,L$49,FALSE))</f>
        <v>4</v>
      </c>
      <c r="M51" s="276">
        <f>IF($C51="","",VLOOKUP($C51,CTPit!$E$10:$BG$172,M$49,FALSE))</f>
        <v>3</v>
      </c>
      <c r="N51" s="275">
        <f>IF($C51="","",VLOOKUP($C51,CTPit!$E$10:$BG$172,N$49,FALSE))</f>
        <v>7</v>
      </c>
      <c r="O51" s="275">
        <f>IF($C51="","",VLOOKUP($C51,CTPit!$E$10:$BG$172,O$49,FALSE))</f>
        <v>4</v>
      </c>
      <c r="P51" s="275">
        <f>IF($C51="","",VLOOKUP($C51,CTPit!$E$10:$BG$172,P$49,FALSE))</f>
        <v>6</v>
      </c>
      <c r="Q51" s="275">
        <f>IF($C51="","",VLOOKUP($C51,CTPit!$E$10:$BG$172,Q$49,FALSE))</f>
        <v>4</v>
      </c>
      <c r="R51" s="275" t="str">
        <f>IF($C51="","",VLOOKUP($C51,CTPit!$E$10:$BG$172,R$49,FALSE))</f>
        <v>-</v>
      </c>
      <c r="S51" s="275" t="str">
        <f>IF($C51="","",VLOOKUP($C51,CTPit!$E$10:$BG$172,S$49,FALSE))</f>
        <v>-</v>
      </c>
      <c r="T51" s="275" t="str">
        <f>IF($C51="","",VLOOKUP($C51,CTPit!$E$10:$BG$172,T$49,FALSE))</f>
        <v>-</v>
      </c>
      <c r="U51" s="275" t="str">
        <f>IF($C51="","",VLOOKUP($C51,CTPit!$E$10:$BG$172,U$49,FALSE))</f>
        <v>-</v>
      </c>
      <c r="V51" s="275" t="str">
        <f>IF($C51="","",VLOOKUP($C51,CTPit!$E$10:$BG$172,V$49,FALSE))</f>
        <v>-</v>
      </c>
      <c r="W51" s="275" t="str">
        <f>IF($C51="","",VLOOKUP($C51,CTPit!$E$10:$BG$172,W$49,FALSE))</f>
        <v>-</v>
      </c>
      <c r="X51" s="275" t="str">
        <f>IF($C51="","",VLOOKUP($C51,CTPit!$E$10:$BG$172,X$49,FALSE))</f>
        <v>-</v>
      </c>
      <c r="Y51" s="276" t="str">
        <f>IF($C51="","",VLOOKUP($C51,CTPit!$E$10:$BG$172,Y$49,FALSE))</f>
        <v>-</v>
      </c>
      <c r="Z51" s="53" t="str">
        <f>IF($C51="","",VLOOKUP($C51,CTPit!$E$10:$BG$172,Z$49,FALSE))</f>
        <v>98-100 Mph</v>
      </c>
      <c r="AA51" s="275">
        <f>IF($C51="","",VLOOKUP($C51,CTPit!$E$10:$BG$172,AA$49,FALSE))</f>
        <v>7</v>
      </c>
      <c r="AB51" s="80">
        <f>IF($C51="","",VLOOKUP($C51,CTPit!$E$10:$BG$172,AB$49,FALSE))</f>
        <v>0.42</v>
      </c>
      <c r="AC51" s="289">
        <f>IF($C51="","",VLOOKUP($C51,CTPit!$E$10:$BG$172,AC$49,FALSE))</f>
        <v>4.833333333333333</v>
      </c>
      <c r="AD51" s="275">
        <f>IF($C51="","",VLOOKUP($C51,CTPit!$E$10:$BG$172,AD$49,FALSE))</f>
        <v>6</v>
      </c>
      <c r="AE51" s="275">
        <f>IF($C51="","",VLOOKUP($C51,CTPit!$E$10:$BG$172,AE$49,FALSE))</f>
        <v>4</v>
      </c>
      <c r="AF51" s="276">
        <f>IF($C51="","",VLOOKUP($C51,CTPit!$E$10:$BG$172,AF$49,FALSE))</f>
        <v>5</v>
      </c>
      <c r="AG51" s="289">
        <f>IF($C51="","",VLOOKUP($C51,CTPit!$E$10:$BG$172,AG$49,FALSE))</f>
        <v>5.5</v>
      </c>
    </row>
    <row r="52" spans="1:33">
      <c r="A52" s="275">
        <v>2</v>
      </c>
      <c r="B52" s="36" t="s">
        <v>108</v>
      </c>
      <c r="C52" s="37" t="s">
        <v>531</v>
      </c>
      <c r="D52" s="37">
        <f>IF($C52="","",VLOOKUP($C52,CTPit!$E$10:$BG$214,D$4,FALSE))</f>
        <v>22</v>
      </c>
      <c r="E52" s="38" t="str">
        <f>IF($C52="","",VLOOKUP($C52,CTPit!$E$10:$BG$214,E$4+1,FALSE))</f>
        <v>L</v>
      </c>
      <c r="F52" s="275">
        <f t="shared" ref="F52:F56" si="88">IF($C52="","",IF(AG52&gt;7,1,0))</f>
        <v>0</v>
      </c>
      <c r="G52" s="275">
        <f t="shared" ref="G52:G56" si="89">IF($C52="","",IF(AG52&gt;6.5,1,0))</f>
        <v>0</v>
      </c>
      <c r="H52" s="275">
        <f t="shared" ref="H52:H56" si="90">IF($C52="","",IF(AG52&gt;6,1,0))</f>
        <v>0</v>
      </c>
      <c r="I52" s="99" t="str">
        <f>IF($C52="","",VLOOKUP($C52,CTPit!$E$10:$BG$172,I$49,FALSE))</f>
        <v>L</v>
      </c>
      <c r="J52" s="77">
        <f t="shared" si="87"/>
        <v>4</v>
      </c>
      <c r="K52" s="275">
        <f>IF($C52="","",VLOOKUP($C52,CTPit!$E$10:$BG$172,K$49,FALSE))</f>
        <v>5</v>
      </c>
      <c r="L52" s="275">
        <f>IF($C52="","",VLOOKUP($C52,CTPit!$E$10:$BG$172,L$49,FALSE))</f>
        <v>4</v>
      </c>
      <c r="M52" s="276">
        <f>IF($C52="","",VLOOKUP($C52,CTPit!$E$10:$BG$172,M$49,FALSE))</f>
        <v>1</v>
      </c>
      <c r="N52" s="275">
        <f>IF($C52="","",VLOOKUP($C52,CTPit!$E$10:$BG$172,N$49,FALSE))</f>
        <v>7</v>
      </c>
      <c r="O52" s="275">
        <f>IF($C52="","",VLOOKUP($C52,CTPit!$E$10:$BG$172,O$49,FALSE))</f>
        <v>4</v>
      </c>
      <c r="P52" s="275" t="str">
        <f>IF($C52="","",VLOOKUP($C52,CTPit!$E$10:$BG$172,P$49,FALSE))</f>
        <v>-</v>
      </c>
      <c r="Q52" s="275">
        <f>IF($C52="","",VLOOKUP($C52,CTPit!$E$10:$BG$172,Q$49,FALSE))</f>
        <v>5</v>
      </c>
      <c r="R52" s="275" t="str">
        <f>IF($C52="","",VLOOKUP($C52,CTPit!$E$10:$BG$172,R$49,FALSE))</f>
        <v>-</v>
      </c>
      <c r="S52" s="275" t="str">
        <f>IF($C52="","",VLOOKUP($C52,CTPit!$E$10:$BG$172,S$49,FALSE))</f>
        <v>-</v>
      </c>
      <c r="T52" s="275">
        <f>IF($C52="","",VLOOKUP($C52,CTPit!$E$10:$BG$172,T$49,FALSE))</f>
        <v>6</v>
      </c>
      <c r="U52" s="275" t="str">
        <f>IF($C52="","",VLOOKUP($C52,CTPit!$E$10:$BG$172,U$49,FALSE))</f>
        <v>-</v>
      </c>
      <c r="V52" s="275" t="str">
        <f>IF($C52="","",VLOOKUP($C52,CTPit!$E$10:$BG$172,V$49,FALSE))</f>
        <v>-</v>
      </c>
      <c r="W52" s="275" t="str">
        <f>IF($C52="","",VLOOKUP($C52,CTPit!$E$10:$BG$172,W$49,FALSE))</f>
        <v>-</v>
      </c>
      <c r="X52" s="275" t="str">
        <f>IF($C52="","",VLOOKUP($C52,CTPit!$E$10:$BG$172,X$49,FALSE))</f>
        <v>-</v>
      </c>
      <c r="Y52" s="276" t="str">
        <f>IF($C52="","",VLOOKUP($C52,CTPit!$E$10:$BG$172,Y$49,FALSE))</f>
        <v>-</v>
      </c>
      <c r="Z52" s="53" t="str">
        <f>IF($C52="","",VLOOKUP($C52,CTPit!$E$10:$BG$172,Z$49,FALSE))</f>
        <v>97-99 Mph</v>
      </c>
      <c r="AA52" s="275">
        <f>IF($C52="","",VLOOKUP($C52,CTPit!$E$10:$BG$172,AA$49,FALSE))</f>
        <v>5</v>
      </c>
      <c r="AB52" s="80">
        <f>IF($C52="","",VLOOKUP($C52,CTPit!$E$10:$BG$172,AB$49,FALSE))</f>
        <v>0.5</v>
      </c>
      <c r="AC52" s="67">
        <f>IF($C52="","",VLOOKUP($C52,CTPit!$E$10:$BG$172,AC$49,FALSE))</f>
        <v>3.8333333333333335</v>
      </c>
      <c r="AD52" s="275">
        <f>IF($C52="","",VLOOKUP($C52,CTPit!$E$10:$BG$172,AD$49,FALSE))</f>
        <v>6</v>
      </c>
      <c r="AE52" s="275">
        <f>IF($C52="","",VLOOKUP($C52,CTPit!$E$10:$BG$172,AE$49,FALSE))</f>
        <v>4</v>
      </c>
      <c r="AF52" s="276">
        <f>IF($C52="","",VLOOKUP($C52,CTPit!$E$10:$BG$172,AF$49,FALSE))</f>
        <v>3</v>
      </c>
      <c r="AG52" s="67">
        <f>IF($C52="","",VLOOKUP($C52,CTPit!$E$10:$BG$172,AG$49,FALSE))</f>
        <v>4.833333333333333</v>
      </c>
    </row>
    <row r="53" spans="1:33">
      <c r="A53" s="275">
        <v>3</v>
      </c>
      <c r="B53" s="36" t="s">
        <v>108</v>
      </c>
      <c r="C53" s="65"/>
      <c r="D53" s="37" t="str">
        <f>IF($C53="","",VLOOKUP($C53,CTPit!$E$10:$BG$214,D$4,FALSE))</f>
        <v/>
      </c>
      <c r="E53" s="38" t="str">
        <f>IF($C53="","",VLOOKUP($C53,CTPit!$E$10:$BG$214,E$4+1,FALSE))</f>
        <v/>
      </c>
      <c r="F53" s="275" t="str">
        <f t="shared" si="88"/>
        <v/>
      </c>
      <c r="G53" s="275" t="str">
        <f t="shared" si="89"/>
        <v/>
      </c>
      <c r="H53" s="275" t="str">
        <f t="shared" si="90"/>
        <v/>
      </c>
      <c r="I53" s="99" t="str">
        <f>IF($C53="","",VLOOKUP($C53,CTPit!$E$10:$BG$172,I$49,FALSE))</f>
        <v/>
      </c>
      <c r="J53" s="77" t="str">
        <f t="shared" si="87"/>
        <v/>
      </c>
      <c r="K53" s="275" t="str">
        <f>IF($C53="","",VLOOKUP($C53,CTPit!$E$10:$BG$172,K$49,FALSE))</f>
        <v/>
      </c>
      <c r="L53" s="275" t="str">
        <f>IF($C53="","",VLOOKUP($C53,CTPit!$E$10:$BG$172,L$49,FALSE))</f>
        <v/>
      </c>
      <c r="M53" s="276" t="str">
        <f>IF($C53="","",VLOOKUP($C53,CTPit!$E$10:$BG$172,M$49,FALSE))</f>
        <v/>
      </c>
      <c r="N53" s="275" t="str">
        <f>IF($C53="","",VLOOKUP($C53,CTPit!$E$10:$BG$172,N$49,FALSE))</f>
        <v/>
      </c>
      <c r="O53" s="275" t="str">
        <f>IF($C53="","",VLOOKUP($C53,CTPit!$E$10:$BG$172,O$49,FALSE))</f>
        <v/>
      </c>
      <c r="P53" s="275" t="str">
        <f>IF($C53="","",VLOOKUP($C53,CTPit!$E$10:$BG$172,P$49,FALSE))</f>
        <v/>
      </c>
      <c r="Q53" s="275" t="str">
        <f>IF($C53="","",VLOOKUP($C53,CTPit!$E$10:$BG$172,Q$49,FALSE))</f>
        <v/>
      </c>
      <c r="R53" s="275" t="str">
        <f>IF($C53="","",VLOOKUP($C53,CTPit!$E$10:$BG$172,R$49,FALSE))</f>
        <v/>
      </c>
      <c r="S53" s="275" t="str">
        <f>IF($C53="","",VLOOKUP($C53,CTPit!$E$10:$BG$172,S$49,FALSE))</f>
        <v/>
      </c>
      <c r="T53" s="275" t="str">
        <f>IF($C53="","",VLOOKUP($C53,CTPit!$E$10:$BG$172,T$49,FALSE))</f>
        <v/>
      </c>
      <c r="U53" s="275" t="str">
        <f>IF($C53="","",VLOOKUP($C53,CTPit!$E$10:$BG$172,U$49,FALSE))</f>
        <v/>
      </c>
      <c r="V53" s="275" t="str">
        <f>IF($C53="","",VLOOKUP($C53,CTPit!$E$10:$BG$172,V$49,FALSE))</f>
        <v/>
      </c>
      <c r="W53" s="275" t="str">
        <f>IF($C53="","",VLOOKUP($C53,CTPit!$E$10:$BG$172,W$49,FALSE))</f>
        <v/>
      </c>
      <c r="X53" s="275" t="str">
        <f>IF($C53="","",VLOOKUP($C53,CTPit!$E$10:$BG$172,X$49,FALSE))</f>
        <v/>
      </c>
      <c r="Y53" s="276" t="str">
        <f>IF($C53="","",VLOOKUP($C53,CTPit!$E$10:$BG$172,Y$49,FALSE))</f>
        <v/>
      </c>
      <c r="Z53" s="53" t="str">
        <f>IF($C53="","",VLOOKUP($C53,CTPit!$E$10:$BG$172,Z$49,FALSE))</f>
        <v/>
      </c>
      <c r="AA53" s="275" t="str">
        <f>IF($C53="","",VLOOKUP($C53,CTPit!$E$10:$BG$172,AA$49,FALSE))</f>
        <v/>
      </c>
      <c r="AB53" s="80" t="str">
        <f>IF($C53="","",VLOOKUP($C53,CTPit!$E$10:$BG$172,AB$49,FALSE))</f>
        <v/>
      </c>
      <c r="AC53" s="67" t="str">
        <f>IF($C53="","",VLOOKUP($C53,CTPit!$E$10:$BG$172,AC$49,FALSE))</f>
        <v/>
      </c>
      <c r="AD53" s="275" t="str">
        <f>IF($C53="","",VLOOKUP($C53,CTPit!$E$10:$BG$172,AD$49,FALSE))</f>
        <v/>
      </c>
      <c r="AE53" s="275" t="str">
        <f>IF($C53="","",VLOOKUP($C53,CTPit!$E$10:$BG$172,AE$49,FALSE))</f>
        <v/>
      </c>
      <c r="AF53" s="276" t="str">
        <f>IF($C53="","",VLOOKUP($C53,CTPit!$E$10:$BG$172,AF$49,FALSE))</f>
        <v/>
      </c>
      <c r="AG53" s="67" t="str">
        <f>IF($C53="","",VLOOKUP($C53,CTPit!$E$10:$BG$172,AG$49,FALSE))</f>
        <v/>
      </c>
    </row>
    <row r="54" spans="1:33">
      <c r="A54" s="275">
        <v>4</v>
      </c>
      <c r="B54" s="36" t="s">
        <v>108</v>
      </c>
      <c r="C54" s="65"/>
      <c r="D54" s="37" t="str">
        <f>IF($C54="","",VLOOKUP($C54,CTPit!$E$10:$BG$214,D$4,FALSE))</f>
        <v/>
      </c>
      <c r="E54" s="38" t="str">
        <f>IF($C54="","",VLOOKUP($C54,CTPit!$E$10:$BG$214,E$4+1,FALSE))</f>
        <v/>
      </c>
      <c r="F54" s="275" t="str">
        <f t="shared" si="88"/>
        <v/>
      </c>
      <c r="G54" s="275" t="str">
        <f t="shared" si="89"/>
        <v/>
      </c>
      <c r="H54" s="275" t="str">
        <f t="shared" si="90"/>
        <v/>
      </c>
      <c r="I54" s="99" t="str">
        <f>IF($C54="","",VLOOKUP($C54,CTPit!$E$10:$BG$172,I$49,FALSE))</f>
        <v/>
      </c>
      <c r="J54" s="77" t="str">
        <f t="shared" si="87"/>
        <v/>
      </c>
      <c r="K54" s="275" t="str">
        <f>IF($C54="","",VLOOKUP($C54,CTPit!$E$10:$BG$172,K$49,FALSE))</f>
        <v/>
      </c>
      <c r="L54" s="275" t="str">
        <f>IF($C54="","",VLOOKUP($C54,CTPit!$E$10:$BG$172,L$49,FALSE))</f>
        <v/>
      </c>
      <c r="M54" s="276" t="str">
        <f>IF($C54="","",VLOOKUP($C54,CTPit!$E$10:$BG$172,M$49,FALSE))</f>
        <v/>
      </c>
      <c r="N54" s="275" t="str">
        <f>IF($C54="","",VLOOKUP($C54,CTPit!$E$10:$BG$172,N$49,FALSE))</f>
        <v/>
      </c>
      <c r="O54" s="275" t="str">
        <f>IF($C54="","",VLOOKUP($C54,CTPit!$E$10:$BG$172,O$49,FALSE))</f>
        <v/>
      </c>
      <c r="P54" s="275" t="str">
        <f>IF($C54="","",VLOOKUP($C54,CTPit!$E$10:$BG$172,P$49,FALSE))</f>
        <v/>
      </c>
      <c r="Q54" s="275" t="str">
        <f>IF($C54="","",VLOOKUP($C54,CTPit!$E$10:$BG$172,Q$49,FALSE))</f>
        <v/>
      </c>
      <c r="R54" s="275" t="str">
        <f>IF($C54="","",VLOOKUP($C54,CTPit!$E$10:$BG$172,R$49,FALSE))</f>
        <v/>
      </c>
      <c r="S54" s="275" t="str">
        <f>IF($C54="","",VLOOKUP($C54,CTPit!$E$10:$BG$172,S$49,FALSE))</f>
        <v/>
      </c>
      <c r="T54" s="275" t="str">
        <f>IF($C54="","",VLOOKUP($C54,CTPit!$E$10:$BG$172,T$49,FALSE))</f>
        <v/>
      </c>
      <c r="U54" s="275" t="str">
        <f>IF($C54="","",VLOOKUP($C54,CTPit!$E$10:$BG$172,U$49,FALSE))</f>
        <v/>
      </c>
      <c r="V54" s="275" t="str">
        <f>IF($C54="","",VLOOKUP($C54,CTPit!$E$10:$BG$172,V$49,FALSE))</f>
        <v/>
      </c>
      <c r="W54" s="275" t="str">
        <f>IF($C54="","",VLOOKUP($C54,CTPit!$E$10:$BG$172,W$49,FALSE))</f>
        <v/>
      </c>
      <c r="X54" s="275" t="str">
        <f>IF($C54="","",VLOOKUP($C54,CTPit!$E$10:$BG$172,X$49,FALSE))</f>
        <v/>
      </c>
      <c r="Y54" s="276" t="str">
        <f>IF($C54="","",VLOOKUP($C54,CTPit!$E$10:$BG$172,Y$49,FALSE))</f>
        <v/>
      </c>
      <c r="Z54" s="53" t="str">
        <f>IF($C54="","",VLOOKUP($C54,CTPit!$E$10:$BG$172,Z$49,FALSE))</f>
        <v/>
      </c>
      <c r="AA54" s="275" t="str">
        <f>IF($C54="","",VLOOKUP($C54,CTPit!$E$10:$BG$172,AA$49,FALSE))</f>
        <v/>
      </c>
      <c r="AB54" s="80" t="str">
        <f>IF($C54="","",VLOOKUP($C54,CTPit!$E$10:$BG$172,AB$49,FALSE))</f>
        <v/>
      </c>
      <c r="AC54" s="67" t="str">
        <f>IF($C54="","",VLOOKUP($C54,CTPit!$E$10:$BG$172,AC$49,FALSE))</f>
        <v/>
      </c>
      <c r="AD54" s="275" t="str">
        <f>IF($C54="","",VLOOKUP($C54,CTPit!$E$10:$BG$172,AD$49,FALSE))</f>
        <v/>
      </c>
      <c r="AE54" s="275" t="str">
        <f>IF($C54="","",VLOOKUP($C54,CTPit!$E$10:$BG$172,AE$49,FALSE))</f>
        <v/>
      </c>
      <c r="AF54" s="276" t="str">
        <f>IF($C54="","",VLOOKUP($C54,CTPit!$E$10:$BG$172,AF$49,FALSE))</f>
        <v/>
      </c>
      <c r="AG54" s="67" t="str">
        <f>IF($C54="","",VLOOKUP($C54,CTPit!$E$10:$BG$172,AG$49,FALSE))</f>
        <v/>
      </c>
    </row>
    <row r="55" spans="1:33">
      <c r="A55" s="275">
        <v>5</v>
      </c>
      <c r="B55" s="36" t="s">
        <v>108</v>
      </c>
      <c r="C55" s="65"/>
      <c r="D55" s="37" t="str">
        <f>IF($C55="","",VLOOKUP($C55,CTPit!$E$10:$BG$214,D$4,FALSE))</f>
        <v/>
      </c>
      <c r="E55" s="38" t="str">
        <f>IF($C55="","",VLOOKUP($C55,CTPit!$E$10:$BG$214,E$4+1,FALSE))</f>
        <v/>
      </c>
      <c r="F55" s="275" t="str">
        <f t="shared" si="88"/>
        <v/>
      </c>
      <c r="G55" s="275" t="str">
        <f t="shared" si="89"/>
        <v/>
      </c>
      <c r="H55" s="275" t="str">
        <f t="shared" si="90"/>
        <v/>
      </c>
      <c r="I55" s="99" t="str">
        <f>IF($C55="","",VLOOKUP($C55,CTPit!$E$10:$BG$172,I$49,FALSE))</f>
        <v/>
      </c>
      <c r="J55" s="77" t="str">
        <f t="shared" si="87"/>
        <v/>
      </c>
      <c r="K55" s="275" t="str">
        <f>IF($C55="","",VLOOKUP($C55,CTPit!$E$10:$BG$172,K$49,FALSE))</f>
        <v/>
      </c>
      <c r="L55" s="275" t="str">
        <f>IF($C55="","",VLOOKUP($C55,CTPit!$E$10:$BG$172,L$49,FALSE))</f>
        <v/>
      </c>
      <c r="M55" s="276" t="str">
        <f>IF($C55="","",VLOOKUP($C55,CTPit!$E$10:$BG$172,M$49,FALSE))</f>
        <v/>
      </c>
      <c r="N55" s="275" t="str">
        <f>IF($C55="","",VLOOKUP($C55,CTPit!$E$10:$BG$172,N$49,FALSE))</f>
        <v/>
      </c>
      <c r="O55" s="275" t="str">
        <f>IF($C55="","",VLOOKUP($C55,CTPit!$E$10:$BG$172,O$49,FALSE))</f>
        <v/>
      </c>
      <c r="P55" s="275" t="str">
        <f>IF($C55="","",VLOOKUP($C55,CTPit!$E$10:$BG$172,P$49,FALSE))</f>
        <v/>
      </c>
      <c r="Q55" s="275" t="str">
        <f>IF($C55="","",VLOOKUP($C55,CTPit!$E$10:$BG$172,Q$49,FALSE))</f>
        <v/>
      </c>
      <c r="R55" s="275" t="str">
        <f>IF($C55="","",VLOOKUP($C55,CTPit!$E$10:$BG$172,R$49,FALSE))</f>
        <v/>
      </c>
      <c r="S55" s="275" t="str">
        <f>IF($C55="","",VLOOKUP($C55,CTPit!$E$10:$BG$172,S$49,FALSE))</f>
        <v/>
      </c>
      <c r="T55" s="275" t="str">
        <f>IF($C55="","",VLOOKUP($C55,CTPit!$E$10:$BG$172,T$49,FALSE))</f>
        <v/>
      </c>
      <c r="U55" s="275" t="str">
        <f>IF($C55="","",VLOOKUP($C55,CTPit!$E$10:$BG$172,U$49,FALSE))</f>
        <v/>
      </c>
      <c r="V55" s="275" t="str">
        <f>IF($C55="","",VLOOKUP($C55,CTPit!$E$10:$BG$172,V$49,FALSE))</f>
        <v/>
      </c>
      <c r="W55" s="275" t="str">
        <f>IF($C55="","",VLOOKUP($C55,CTPit!$E$10:$BG$172,W$49,FALSE))</f>
        <v/>
      </c>
      <c r="X55" s="275" t="str">
        <f>IF($C55="","",VLOOKUP($C55,CTPit!$E$10:$BG$172,X$49,FALSE))</f>
        <v/>
      </c>
      <c r="Y55" s="276" t="str">
        <f>IF($C55="","",VLOOKUP($C55,CTPit!$E$10:$BG$172,Y$49,FALSE))</f>
        <v/>
      </c>
      <c r="Z55" s="53" t="str">
        <f>IF($C55="","",VLOOKUP($C55,CTPit!$E$10:$BG$172,Z$49,FALSE))</f>
        <v/>
      </c>
      <c r="AA55" s="275" t="str">
        <f>IF($C55="","",VLOOKUP($C55,CTPit!$E$10:$BG$172,AA$49,FALSE))</f>
        <v/>
      </c>
      <c r="AB55" s="80" t="str">
        <f>IF($C55="","",VLOOKUP($C55,CTPit!$E$10:$BG$172,AB$49,FALSE))</f>
        <v/>
      </c>
      <c r="AC55" s="67" t="str">
        <f>IF($C55="","",VLOOKUP($C55,CTPit!$E$10:$BG$172,AC$49,FALSE))</f>
        <v/>
      </c>
      <c r="AD55" s="275" t="str">
        <f>IF($C55="","",VLOOKUP($C55,CTPit!$E$10:$BG$172,AD$49,FALSE))</f>
        <v/>
      </c>
      <c r="AE55" s="275" t="str">
        <f>IF($C55="","",VLOOKUP($C55,CTPit!$E$10:$BG$172,AE$49,FALSE))</f>
        <v/>
      </c>
      <c r="AF55" s="276" t="str">
        <f>IF($C55="","",VLOOKUP($C55,CTPit!$E$10:$BG$172,AF$49,FALSE))</f>
        <v/>
      </c>
      <c r="AG55" s="67" t="str">
        <f>IF($C55="","",VLOOKUP($C55,CTPit!$E$10:$BG$172,AG$49,FALSE))</f>
        <v/>
      </c>
    </row>
    <row r="56" spans="1:33">
      <c r="A56" s="275">
        <v>6</v>
      </c>
      <c r="B56" s="39" t="s">
        <v>127</v>
      </c>
      <c r="C56" s="273"/>
      <c r="D56" s="40" t="str">
        <f>IF($C56="","",VLOOKUP($C56,CTPit!$E$10:$BG$214,D$4,FALSE))</f>
        <v/>
      </c>
      <c r="E56" s="42" t="str">
        <f>IF($C56="","",VLOOKUP($C56,CTPit!$E$10:$BG$214,E$4+1,FALSE))</f>
        <v/>
      </c>
      <c r="F56" s="273" t="str">
        <f t="shared" si="88"/>
        <v/>
      </c>
      <c r="G56" s="273" t="str">
        <f t="shared" si="89"/>
        <v/>
      </c>
      <c r="H56" s="273" t="str">
        <f t="shared" si="90"/>
        <v/>
      </c>
      <c r="I56" s="100" t="str">
        <f>IF($C56="","",VLOOKUP($C56,CTPit!$E$10:$BG$172,I$49,FALSE))</f>
        <v/>
      </c>
      <c r="J56" s="78" t="str">
        <f t="shared" si="87"/>
        <v/>
      </c>
      <c r="K56" s="273" t="str">
        <f>IF($C56="","",VLOOKUP($C56,CTPit!$E$10:$BG$172,K$49,FALSE))</f>
        <v/>
      </c>
      <c r="L56" s="273" t="str">
        <f>IF($C56="","",VLOOKUP($C56,CTPit!$E$10:$BG$172,L$49,FALSE))</f>
        <v/>
      </c>
      <c r="M56" s="274" t="str">
        <f>IF($C56="","",VLOOKUP($C56,CTPit!$E$10:$BG$172,M$49,FALSE))</f>
        <v/>
      </c>
      <c r="N56" s="273" t="str">
        <f>IF($C56="","",VLOOKUP($C56,CTPit!$E$10:$BG$172,N$49,FALSE))</f>
        <v/>
      </c>
      <c r="O56" s="273" t="str">
        <f>IF($C56="","",VLOOKUP($C56,CTPit!$E$10:$BG$172,O$49,FALSE))</f>
        <v/>
      </c>
      <c r="P56" s="273" t="str">
        <f>IF($C56="","",VLOOKUP($C56,CTPit!$E$10:$BG$172,P$49,FALSE))</f>
        <v/>
      </c>
      <c r="Q56" s="273" t="str">
        <f>IF($C56="","",VLOOKUP($C56,CTPit!$E$10:$BG$172,Q$49,FALSE))</f>
        <v/>
      </c>
      <c r="R56" s="273" t="str">
        <f>IF($C56="","",VLOOKUP($C56,CTPit!$E$10:$BG$172,R$49,FALSE))</f>
        <v/>
      </c>
      <c r="S56" s="273" t="str">
        <f>IF($C56="","",VLOOKUP($C56,CTPit!$E$10:$BG$172,S$49,FALSE))</f>
        <v/>
      </c>
      <c r="T56" s="273" t="str">
        <f>IF($C56="","",VLOOKUP($C56,CTPit!$E$10:$BG$172,T$49,FALSE))</f>
        <v/>
      </c>
      <c r="U56" s="273" t="str">
        <f>IF($C56="","",VLOOKUP($C56,CTPit!$E$10:$BG$172,U$49,FALSE))</f>
        <v/>
      </c>
      <c r="V56" s="273" t="str">
        <f>IF($C56="","",VLOOKUP($C56,CTPit!$E$10:$BG$172,V$49,FALSE))</f>
        <v/>
      </c>
      <c r="W56" s="273" t="str">
        <f>IF($C56="","",VLOOKUP($C56,CTPit!$E$10:$BG$172,W$49,FALSE))</f>
        <v/>
      </c>
      <c r="X56" s="273" t="str">
        <f>IF($C56="","",VLOOKUP($C56,CTPit!$E$10:$BG$172,X$49,FALSE))</f>
        <v/>
      </c>
      <c r="Y56" s="274" t="str">
        <f>IF($C56="","",VLOOKUP($C56,CTPit!$E$10:$BG$172,Y$49,FALSE))</f>
        <v/>
      </c>
      <c r="Z56" s="54" t="str">
        <f>IF($C56="","",VLOOKUP($C56,CTPit!$E$10:$BG$172,Z$49,FALSE))</f>
        <v/>
      </c>
      <c r="AA56" s="273" t="str">
        <f>IF($C56="","",VLOOKUP($C56,CTPit!$E$10:$BG$172,AA$49,FALSE))</f>
        <v/>
      </c>
      <c r="AB56" s="81" t="str">
        <f>IF($C56="","",VLOOKUP($C56,CTPit!$E$10:$BG$172,AB$49,FALSE))</f>
        <v/>
      </c>
      <c r="AC56" s="68" t="str">
        <f>IF($C56="","",VLOOKUP($C56,CTPit!$E$10:$BG$172,AC$49,FALSE))</f>
        <v/>
      </c>
      <c r="AD56" s="273" t="str">
        <f>IF($C56="","",VLOOKUP($C56,CTPit!$E$10:$BG$172,AD$49,FALSE))</f>
        <v/>
      </c>
      <c r="AE56" s="273" t="str">
        <f>IF($C56="","",VLOOKUP($C56,CTPit!$E$10:$BG$172,AE$49,FALSE))</f>
        <v/>
      </c>
      <c r="AF56" s="274" t="str">
        <f>IF($C56="","",VLOOKUP($C56,CTPit!$E$10:$BG$172,AF$49,FALSE))</f>
        <v/>
      </c>
      <c r="AG56" s="68" t="str">
        <f>IF($C56="","",VLOOKUP($C56,CTPit!$E$10:$BG$172,AG$49,FALSE))</f>
        <v/>
      </c>
    </row>
    <row r="57" spans="1:33">
      <c r="Z57" s="275"/>
      <c r="AA57" s="275"/>
      <c r="AB57" s="275"/>
    </row>
    <row r="58" spans="1:33" ht="57">
      <c r="A58" s="25" t="s">
        <v>193</v>
      </c>
      <c r="B58" s="270" t="s">
        <v>128</v>
      </c>
      <c r="C58" s="44" t="s">
        <v>118</v>
      </c>
      <c r="D58" s="44" t="s">
        <v>91</v>
      </c>
      <c r="E58" s="44" t="s">
        <v>102</v>
      </c>
      <c r="F58" s="55" t="s">
        <v>190</v>
      </c>
      <c r="G58" s="47" t="s">
        <v>191</v>
      </c>
      <c r="H58" s="56" t="s">
        <v>192</v>
      </c>
      <c r="I58" s="76" t="s">
        <v>212</v>
      </c>
      <c r="J58" s="47" t="s">
        <v>189</v>
      </c>
      <c r="K58" s="79" t="s">
        <v>186</v>
      </c>
      <c r="L58" s="74" t="s">
        <v>187</v>
      </c>
      <c r="M58" s="75" t="s">
        <v>188</v>
      </c>
      <c r="N58" s="74" t="s">
        <v>60</v>
      </c>
      <c r="O58" s="74" t="s">
        <v>62</v>
      </c>
      <c r="P58" s="74" t="s">
        <v>64</v>
      </c>
      <c r="Q58" s="74" t="s">
        <v>66</v>
      </c>
      <c r="R58" s="74" t="s">
        <v>68</v>
      </c>
      <c r="S58" s="74" t="s">
        <v>108</v>
      </c>
      <c r="T58" s="74" t="s">
        <v>71</v>
      </c>
      <c r="U58" s="74" t="s">
        <v>73</v>
      </c>
      <c r="V58" s="74" t="s">
        <v>75</v>
      </c>
      <c r="W58" s="74" t="s">
        <v>77</v>
      </c>
      <c r="X58" s="74" t="s">
        <v>79</v>
      </c>
      <c r="Y58" s="75" t="s">
        <v>81</v>
      </c>
      <c r="Z58" s="79" t="s">
        <v>199</v>
      </c>
      <c r="AA58" s="74" t="s">
        <v>198</v>
      </c>
      <c r="AB58" s="75" t="s">
        <v>200</v>
      </c>
      <c r="AC58" s="288" t="s">
        <v>537</v>
      </c>
      <c r="AD58" s="74" t="s">
        <v>186</v>
      </c>
      <c r="AE58" s="74" t="s">
        <v>187</v>
      </c>
      <c r="AF58" s="75" t="s">
        <v>188</v>
      </c>
      <c r="AG58" s="288" t="s">
        <v>197</v>
      </c>
    </row>
    <row r="59" spans="1:33">
      <c r="A59">
        <v>1</v>
      </c>
      <c r="B59" s="36" t="s">
        <v>109</v>
      </c>
      <c r="C59" s="65"/>
      <c r="D59" s="37" t="str">
        <f>IF($C59="","",VLOOKUP($C59,CTPit!$E$10:$BG$214,D$4,FALSE))</f>
        <v/>
      </c>
      <c r="E59" s="37" t="str">
        <f>IF($C59="","",VLOOKUP($C59,CTPit!$E$10:$BG$214,E$4+1,FALSE))</f>
        <v/>
      </c>
      <c r="F59" s="53" t="str">
        <f t="shared" ref="F59:F60" si="91">IF($C59="","",IF(AG59&gt;7,1,0))</f>
        <v/>
      </c>
      <c r="G59" s="275" t="str">
        <f t="shared" ref="G59:G60" si="92">IF($C59="","",IF(AG59&gt;6.5,1,0))</f>
        <v/>
      </c>
      <c r="H59" s="276" t="str">
        <f t="shared" ref="H59:H60" si="93">IF($C59="","",IF(AG59&gt;6,1,0))</f>
        <v/>
      </c>
      <c r="I59" s="98" t="str">
        <f>IF($C59="","",VLOOKUP($C59,CTPit!$E$10:$BG$172,I$49,FALSE))</f>
        <v/>
      </c>
      <c r="J59" s="275" t="str">
        <f>IF($C59="","",COUNT(N59:Y59))</f>
        <v/>
      </c>
      <c r="K59" s="53" t="str">
        <f>IF($C59="","",VLOOKUP($C59,CTPit!$E$10:$BG$172,K$49,FALSE))</f>
        <v/>
      </c>
      <c r="L59" s="275" t="str">
        <f>IF($C59="","",VLOOKUP($C59,CTPit!$E$10:$BG$172,L$49,FALSE))</f>
        <v/>
      </c>
      <c r="M59" s="276" t="str">
        <f>IF($C59="","",VLOOKUP($C59,CTPit!$E$10:$BG$172,M$49,FALSE))</f>
        <v/>
      </c>
      <c r="N59" s="275" t="str">
        <f>IF($C59="","",VLOOKUP($C59,CTPit!$E$10:$BG$172,N$49,FALSE))</f>
        <v/>
      </c>
      <c r="O59" s="275" t="str">
        <f>IF($C59="","",VLOOKUP($C59,CTPit!$E$10:$BG$172,O$49,FALSE))</f>
        <v/>
      </c>
      <c r="P59" s="275" t="str">
        <f>IF($C59="","",VLOOKUP($C59,CTPit!$E$10:$BG$172,P$49,FALSE))</f>
        <v/>
      </c>
      <c r="Q59" s="275" t="str">
        <f>IF($C59="","",VLOOKUP($C59,CTPit!$E$10:$BG$172,Q$49,FALSE))</f>
        <v/>
      </c>
      <c r="R59" s="275" t="str">
        <f>IF($C59="","",VLOOKUP($C59,CTPit!$E$10:$BG$172,R$49,FALSE))</f>
        <v/>
      </c>
      <c r="S59" s="275" t="str">
        <f>IF($C59="","",VLOOKUP($C59,CTPit!$E$10:$BG$172,S$49,FALSE))</f>
        <v/>
      </c>
      <c r="T59" s="275" t="str">
        <f>IF($C59="","",VLOOKUP($C59,CTPit!$E$10:$BG$172,T$49,FALSE))</f>
        <v/>
      </c>
      <c r="U59" s="275" t="str">
        <f>IF($C59="","",VLOOKUP($C59,CTPit!$E$10:$BG$172,U$49,FALSE))</f>
        <v/>
      </c>
      <c r="V59" s="275" t="str">
        <f>IF($C59="","",VLOOKUP($C59,CTPit!$E$10:$BG$172,V$49,FALSE))</f>
        <v/>
      </c>
      <c r="W59" s="275" t="str">
        <f>IF($C59="","",VLOOKUP($C59,CTPit!$E$10:$BG$172,W$49,FALSE))</f>
        <v/>
      </c>
      <c r="X59" s="275" t="str">
        <f>IF($C59="","",VLOOKUP($C59,CTPit!$E$10:$BG$172,X$49,FALSE))</f>
        <v/>
      </c>
      <c r="Y59" s="276" t="str">
        <f>IF($C59="","",VLOOKUP($C59,CTPit!$E$10:$BG$172,Y$49,FALSE))</f>
        <v/>
      </c>
      <c r="Z59" s="53" t="str">
        <f>IF($C59="","",VLOOKUP($C59,CTPit!$E$10:$BG$172,Z$49,FALSE))</f>
        <v/>
      </c>
      <c r="AA59" s="275" t="str">
        <f>IF($C59="","",VLOOKUP($C59,CTPit!$E$10:$BG$172,AA$49,FALSE))</f>
        <v/>
      </c>
      <c r="AB59" s="80" t="str">
        <f>IF($C59="","",VLOOKUP($C59,CTPit!$E$10:$BG$172,AB$49,FALSE))</f>
        <v/>
      </c>
      <c r="AC59" s="289" t="str">
        <f>IF($C59="","",VLOOKUP($C59,CTPit!$E$10:$BG$172,AC$49,FALSE))</f>
        <v/>
      </c>
      <c r="AD59" s="275" t="str">
        <f>IF($C59="","",VLOOKUP($C59,CTPit!$E$10:$BG$172,AD$49,FALSE))</f>
        <v/>
      </c>
      <c r="AE59" s="275" t="str">
        <f>IF($C59="","",VLOOKUP($C59,CTPit!$E$10:$BG$172,AE$49,FALSE))</f>
        <v/>
      </c>
      <c r="AF59" s="276" t="str">
        <f>IF($C59="","",VLOOKUP($C59,CTPit!$E$10:$BG$172,AF$49,FALSE))</f>
        <v/>
      </c>
      <c r="AG59" s="289" t="str">
        <f>IF($C59="","",VLOOKUP($C59,CTPit!$E$10:$BG$172,AG$49,FALSE))</f>
        <v/>
      </c>
    </row>
    <row r="60" spans="1:33">
      <c r="A60">
        <v>2</v>
      </c>
      <c r="B60" s="39" t="s">
        <v>129</v>
      </c>
      <c r="C60" s="40"/>
      <c r="D60" s="40" t="str">
        <f>IF($C60="","",VLOOKUP($C60,CTPit!$E$10:$BG$214,D$4,FALSE))</f>
        <v/>
      </c>
      <c r="E60" s="40" t="str">
        <f>IF($C60="","",VLOOKUP($C60,CTPit!$E$10:$BG$214,E$4+1,FALSE))</f>
        <v/>
      </c>
      <c r="F60" s="54" t="str">
        <f t="shared" si="91"/>
        <v/>
      </c>
      <c r="G60" s="273" t="str">
        <f t="shared" si="92"/>
        <v/>
      </c>
      <c r="H60" s="274" t="str">
        <f t="shared" si="93"/>
        <v/>
      </c>
      <c r="I60" s="100" t="str">
        <f>IF($C60="","",VLOOKUP($C60,CTPit!$E$10:$BG$172,I$49,FALSE))</f>
        <v/>
      </c>
      <c r="J60" s="273" t="str">
        <f>IF($C60="","",COUNT(N60:Y60))</f>
        <v/>
      </c>
      <c r="K60" s="54" t="str">
        <f>IF($C60="","",VLOOKUP($C60,CTPit!$E$10:$BG$172,K$49,FALSE))</f>
        <v/>
      </c>
      <c r="L60" s="273" t="str">
        <f>IF($C60="","",VLOOKUP($C60,CTPit!$E$10:$BG$172,L$49,FALSE))</f>
        <v/>
      </c>
      <c r="M60" s="274" t="str">
        <f>IF($C60="","",VLOOKUP($C60,CTPit!$E$10:$BG$172,M$49,FALSE))</f>
        <v/>
      </c>
      <c r="N60" s="273" t="str">
        <f>IF($C60="","",VLOOKUP($C60,CTPit!$E$10:$BG$172,N$49,FALSE))</f>
        <v/>
      </c>
      <c r="O60" s="273" t="str">
        <f>IF($C60="","",VLOOKUP($C60,CTPit!$E$10:$BG$172,O$49,FALSE))</f>
        <v/>
      </c>
      <c r="P60" s="273" t="str">
        <f>IF($C60="","",VLOOKUP($C60,CTPit!$E$10:$BG$172,P$49,FALSE))</f>
        <v/>
      </c>
      <c r="Q60" s="273" t="str">
        <f>IF($C60="","",VLOOKUP($C60,CTPit!$E$10:$BG$172,Q$49,FALSE))</f>
        <v/>
      </c>
      <c r="R60" s="273" t="str">
        <f>IF($C60="","",VLOOKUP($C60,CTPit!$E$10:$BG$172,R$49,FALSE))</f>
        <v/>
      </c>
      <c r="S60" s="273" t="str">
        <f>IF($C60="","",VLOOKUP($C60,CTPit!$E$10:$BG$172,S$49,FALSE))</f>
        <v/>
      </c>
      <c r="T60" s="273" t="str">
        <f>IF($C60="","",VLOOKUP($C60,CTPit!$E$10:$BG$172,T$49,FALSE))</f>
        <v/>
      </c>
      <c r="U60" s="273" t="str">
        <f>IF($C60="","",VLOOKUP($C60,CTPit!$E$10:$BG$172,U$49,FALSE))</f>
        <v/>
      </c>
      <c r="V60" s="273" t="str">
        <f>IF($C60="","",VLOOKUP($C60,CTPit!$E$10:$BG$172,V$49,FALSE))</f>
        <v/>
      </c>
      <c r="W60" s="273" t="str">
        <f>IF($C60="","",VLOOKUP($C60,CTPit!$E$10:$BG$172,W$49,FALSE))</f>
        <v/>
      </c>
      <c r="X60" s="273" t="str">
        <f>IF($C60="","",VLOOKUP($C60,CTPit!$E$10:$BG$172,X$49,FALSE))</f>
        <v/>
      </c>
      <c r="Y60" s="274" t="str">
        <f>IF($C60="","",VLOOKUP($C60,CTPit!$E$10:$BG$172,Y$49,FALSE))</f>
        <v/>
      </c>
      <c r="Z60" s="54" t="str">
        <f>IF($C60="","",VLOOKUP($C60,CTPit!$E$10:$BG$172,Z$49,FALSE))</f>
        <v/>
      </c>
      <c r="AA60" s="273" t="str">
        <f>IF($C60="","",VLOOKUP($C60,CTPit!$E$10:$BG$172,AA$49,FALSE))</f>
        <v/>
      </c>
      <c r="AB60" s="81" t="str">
        <f>IF($C60="","",VLOOKUP($C60,CTPit!$E$10:$BG$172,AB$49,FALSE))</f>
        <v/>
      </c>
      <c r="AC60" s="68" t="str">
        <f>IF($C60="","",VLOOKUP($C60,CTPit!$E$10:$BG$172,AC$49,FALSE))</f>
        <v/>
      </c>
      <c r="AD60" s="273" t="str">
        <f>IF($C60="","",VLOOKUP($C60,CTPit!$E$10:$BG$172,AD$49,FALSE))</f>
        <v/>
      </c>
      <c r="AE60" s="273" t="str">
        <f>IF($C60="","",VLOOKUP($C60,CTPit!$E$10:$BG$172,AE$49,FALSE))</f>
        <v/>
      </c>
      <c r="AF60" s="274" t="str">
        <f>IF($C60="","",VLOOKUP($C60,CTPit!$E$10:$BG$172,AF$49,FALSE))</f>
        <v/>
      </c>
      <c r="AG60" s="68" t="str">
        <f>IF($C60="","",VLOOKUP($C60,CTPit!$E$10:$BG$172,AG$49,FALSE))</f>
        <v/>
      </c>
    </row>
    <row r="61" spans="1:33">
      <c r="Z61" s="275"/>
      <c r="AA61" s="275"/>
      <c r="AB61" s="275"/>
    </row>
    <row r="62" spans="1:33" ht="57">
      <c r="A62" s="25" t="s">
        <v>193</v>
      </c>
      <c r="B62" s="270" t="s">
        <v>130</v>
      </c>
      <c r="C62" s="44" t="s">
        <v>118</v>
      </c>
      <c r="D62" s="44" t="s">
        <v>91</v>
      </c>
      <c r="E62" s="44" t="s">
        <v>102</v>
      </c>
      <c r="F62" s="55" t="s">
        <v>190</v>
      </c>
      <c r="G62" s="47" t="s">
        <v>191</v>
      </c>
      <c r="H62" s="56" t="s">
        <v>192</v>
      </c>
      <c r="I62" s="76" t="s">
        <v>212</v>
      </c>
      <c r="J62" s="47" t="s">
        <v>189</v>
      </c>
      <c r="K62" s="79" t="s">
        <v>186</v>
      </c>
      <c r="L62" s="74" t="s">
        <v>187</v>
      </c>
      <c r="M62" s="75" t="s">
        <v>188</v>
      </c>
      <c r="N62" s="74" t="s">
        <v>60</v>
      </c>
      <c r="O62" s="74" t="s">
        <v>62</v>
      </c>
      <c r="P62" s="74" t="s">
        <v>64</v>
      </c>
      <c r="Q62" s="74" t="s">
        <v>66</v>
      </c>
      <c r="R62" s="74" t="s">
        <v>68</v>
      </c>
      <c r="S62" s="74" t="s">
        <v>108</v>
      </c>
      <c r="T62" s="74" t="s">
        <v>71</v>
      </c>
      <c r="U62" s="74" t="s">
        <v>73</v>
      </c>
      <c r="V62" s="74" t="s">
        <v>75</v>
      </c>
      <c r="W62" s="74" t="s">
        <v>77</v>
      </c>
      <c r="X62" s="74" t="s">
        <v>79</v>
      </c>
      <c r="Y62" s="75" t="s">
        <v>81</v>
      </c>
      <c r="Z62" s="79" t="s">
        <v>199</v>
      </c>
      <c r="AA62" s="74" t="s">
        <v>198</v>
      </c>
      <c r="AB62" s="75" t="s">
        <v>200</v>
      </c>
      <c r="AC62" s="288" t="s">
        <v>537</v>
      </c>
      <c r="AD62" s="74" t="s">
        <v>186</v>
      </c>
      <c r="AE62" s="74" t="s">
        <v>187</v>
      </c>
      <c r="AF62" s="75" t="s">
        <v>188</v>
      </c>
      <c r="AG62" s="288" t="s">
        <v>197</v>
      </c>
    </row>
    <row r="63" spans="1:33">
      <c r="A63">
        <v>1</v>
      </c>
      <c r="B63" s="36" t="s">
        <v>131</v>
      </c>
      <c r="C63" s="37"/>
      <c r="D63" s="37" t="str">
        <f>IF($C63="","",VLOOKUP($C63,CTPit!$E$10:$BG$214,D$4,FALSE))</f>
        <v/>
      </c>
      <c r="E63" s="37" t="str">
        <f>IF($C63="","",VLOOKUP($C63,CTPit!$E$10:$BG$214,E$4+1,FALSE))</f>
        <v/>
      </c>
      <c r="F63" s="53" t="str">
        <f t="shared" ref="F63:F72" si="94">IF($C63="","",IF(AG63&gt;7,1,0))</f>
        <v/>
      </c>
      <c r="G63" s="275" t="str">
        <f t="shared" ref="G63:G72" si="95">IF($C63="","",IF(AG63&gt;6.5,1,0))</f>
        <v/>
      </c>
      <c r="H63" s="276" t="str">
        <f t="shared" ref="H63:H72" si="96">IF($C63="","",IF(AG63&gt;6,1,0))</f>
        <v/>
      </c>
      <c r="I63" s="99" t="str">
        <f>IF($C63="","",VLOOKUP($C63,CTPit!$E$10:$BG$172,I$49,FALSE))</f>
        <v/>
      </c>
      <c r="J63" s="275" t="str">
        <f t="shared" ref="J63:J72" si="97">IF($C63="","",COUNT(N63:Y63))</f>
        <v/>
      </c>
      <c r="K63" s="53" t="str">
        <f>IF($C63="","",VLOOKUP($C63,CTPit!$E$10:$BG$172,K$49,FALSE))</f>
        <v/>
      </c>
      <c r="L63" s="275" t="str">
        <f>IF($C63="","",VLOOKUP($C63,CTPit!$E$10:$BG$172,L$49,FALSE))</f>
        <v/>
      </c>
      <c r="M63" s="276" t="str">
        <f>IF($C63="","",VLOOKUP($C63,CTPit!$E$10:$BG$172,M$49,FALSE))</f>
        <v/>
      </c>
      <c r="N63" s="275" t="str">
        <f>IF($C63="","",VLOOKUP($C63,CTPit!$E$10:$BG$172,N$49,FALSE))</f>
        <v/>
      </c>
      <c r="O63" s="275" t="str">
        <f>IF($C63="","",VLOOKUP($C63,CTPit!$E$10:$BG$172,O$49,FALSE))</f>
        <v/>
      </c>
      <c r="P63" s="275" t="str">
        <f>IF($C63="","",VLOOKUP($C63,CTPit!$E$10:$BG$172,P$49,FALSE))</f>
        <v/>
      </c>
      <c r="Q63" s="275" t="str">
        <f>IF($C63="","",VLOOKUP($C63,CTPit!$E$10:$BG$172,Q$49,FALSE))</f>
        <v/>
      </c>
      <c r="R63" s="275" t="str">
        <f>IF($C63="","",VLOOKUP($C63,CTPit!$E$10:$BG$172,R$49,FALSE))</f>
        <v/>
      </c>
      <c r="S63" s="275" t="str">
        <f>IF($C63="","",VLOOKUP($C63,CTPit!$E$10:$BG$172,S$49,FALSE))</f>
        <v/>
      </c>
      <c r="T63" s="275" t="str">
        <f>IF($C63="","",VLOOKUP($C63,CTPit!$E$10:$BG$172,T$49,FALSE))</f>
        <v/>
      </c>
      <c r="U63" s="275" t="str">
        <f>IF($C63="","",VLOOKUP($C63,CTPit!$E$10:$BG$172,U$49,FALSE))</f>
        <v/>
      </c>
      <c r="V63" s="275" t="str">
        <f>IF($C63="","",VLOOKUP($C63,CTPit!$E$10:$BG$172,V$49,FALSE))</f>
        <v/>
      </c>
      <c r="W63" s="275" t="str">
        <f>IF($C63="","",VLOOKUP($C63,CTPit!$E$10:$BG$172,W$49,FALSE))</f>
        <v/>
      </c>
      <c r="X63" s="275" t="str">
        <f>IF($C63="","",VLOOKUP($C63,CTPit!$E$10:$BG$172,X$49,FALSE))</f>
        <v/>
      </c>
      <c r="Y63" s="276" t="str">
        <f>IF($C63="","",VLOOKUP($C63,CTPit!$E$10:$BG$172,Y$49,FALSE))</f>
        <v/>
      </c>
      <c r="Z63" s="53" t="str">
        <f>IF($C63="","",VLOOKUP($C63,CTPit!$E$10:$BG$172,Z$49,FALSE))</f>
        <v/>
      </c>
      <c r="AA63" s="275" t="str">
        <f>IF($C63="","",VLOOKUP($C63,CTPit!$E$10:$BG$172,AA$49,FALSE))</f>
        <v/>
      </c>
      <c r="AB63" s="80" t="str">
        <f>IF($C63="","",VLOOKUP($C63,CTPit!$E$10:$BG$172,AB$49,FALSE))</f>
        <v/>
      </c>
      <c r="AC63" s="289" t="str">
        <f>IF($C63="","",VLOOKUP($C63,CTPit!$E$10:$BG$172,AC$49,FALSE))</f>
        <v/>
      </c>
      <c r="AD63" s="275" t="str">
        <f>IF($C63="","",VLOOKUP($C63,CTPit!$E$10:$BG$172,AD$49,FALSE))</f>
        <v/>
      </c>
      <c r="AE63" s="275" t="str">
        <f>IF($C63="","",VLOOKUP($C63,CTPit!$E$10:$BG$172,AE$49,FALSE))</f>
        <v/>
      </c>
      <c r="AF63" s="276" t="str">
        <f>IF($C63="","",VLOOKUP($C63,CTPit!$E$10:$BG$172,AF$49,FALSE))</f>
        <v/>
      </c>
      <c r="AG63" s="289" t="str">
        <f>IF($C63="","",VLOOKUP($C63,CTPit!$E$10:$BG$172,AG$49,FALSE))</f>
        <v/>
      </c>
    </row>
    <row r="64" spans="1:33">
      <c r="A64">
        <v>2</v>
      </c>
      <c r="B64" s="36" t="s">
        <v>132</v>
      </c>
      <c r="C64" s="65"/>
      <c r="D64" s="37" t="str">
        <f>IF($C64="","",VLOOKUP($C64,CTPit!$E$10:$BG$214,D$4,FALSE))</f>
        <v/>
      </c>
      <c r="E64" s="37" t="str">
        <f>IF($C64="","",VLOOKUP($C64,CTPit!$E$10:$BG$214,E$4+1,FALSE))</f>
        <v/>
      </c>
      <c r="F64" s="53" t="str">
        <f t="shared" si="94"/>
        <v/>
      </c>
      <c r="G64" s="275" t="str">
        <f t="shared" si="95"/>
        <v/>
      </c>
      <c r="H64" s="276" t="str">
        <f t="shared" si="96"/>
        <v/>
      </c>
      <c r="I64" s="99" t="str">
        <f>IF($C64="","",VLOOKUP($C64,CTPit!$E$10:$BG$172,I$49,FALSE))</f>
        <v/>
      </c>
      <c r="J64" s="275" t="str">
        <f t="shared" si="97"/>
        <v/>
      </c>
      <c r="K64" s="53" t="str">
        <f>IF($C64="","",VLOOKUP($C64,CTPit!$E$10:$BG$172,K$49,FALSE))</f>
        <v/>
      </c>
      <c r="L64" s="275" t="str">
        <f>IF($C64="","",VLOOKUP($C64,CTPit!$E$10:$BG$172,L$49,FALSE))</f>
        <v/>
      </c>
      <c r="M64" s="276" t="str">
        <f>IF($C64="","",VLOOKUP($C64,CTPit!$E$10:$BG$172,M$49,FALSE))</f>
        <v/>
      </c>
      <c r="N64" s="275" t="str">
        <f>IF($C64="","",VLOOKUP($C64,CTPit!$E$10:$BG$172,N$49,FALSE))</f>
        <v/>
      </c>
      <c r="O64" s="275" t="str">
        <f>IF($C64="","",VLOOKUP($C64,CTPit!$E$10:$BG$172,O$49,FALSE))</f>
        <v/>
      </c>
      <c r="P64" s="275" t="str">
        <f>IF($C64="","",VLOOKUP($C64,CTPit!$E$10:$BG$172,P$49,FALSE))</f>
        <v/>
      </c>
      <c r="Q64" s="275" t="str">
        <f>IF($C64="","",VLOOKUP($C64,CTPit!$E$10:$BG$172,Q$49,FALSE))</f>
        <v/>
      </c>
      <c r="R64" s="275" t="str">
        <f>IF($C64="","",VLOOKUP($C64,CTPit!$E$10:$BG$172,R$49,FALSE))</f>
        <v/>
      </c>
      <c r="S64" s="275" t="str">
        <f>IF($C64="","",VLOOKUP($C64,CTPit!$E$10:$BG$172,S$49,FALSE))</f>
        <v/>
      </c>
      <c r="T64" s="275" t="str">
        <f>IF($C64="","",VLOOKUP($C64,CTPit!$E$10:$BG$172,T$49,FALSE))</f>
        <v/>
      </c>
      <c r="U64" s="275" t="str">
        <f>IF($C64="","",VLOOKUP($C64,CTPit!$E$10:$BG$172,U$49,FALSE))</f>
        <v/>
      </c>
      <c r="V64" s="275" t="str">
        <f>IF($C64="","",VLOOKUP($C64,CTPit!$E$10:$BG$172,V$49,FALSE))</f>
        <v/>
      </c>
      <c r="W64" s="275" t="str">
        <f>IF($C64="","",VLOOKUP($C64,CTPit!$E$10:$BG$172,W$49,FALSE))</f>
        <v/>
      </c>
      <c r="X64" s="275" t="str">
        <f>IF($C64="","",VLOOKUP($C64,CTPit!$E$10:$BG$172,X$49,FALSE))</f>
        <v/>
      </c>
      <c r="Y64" s="276" t="str">
        <f>IF($C64="","",VLOOKUP($C64,CTPit!$E$10:$BG$172,Y$49,FALSE))</f>
        <v/>
      </c>
      <c r="Z64" s="53" t="str">
        <f>IF($C64="","",VLOOKUP($C64,CTPit!$E$10:$BG$172,Z$49,FALSE))</f>
        <v/>
      </c>
      <c r="AA64" s="275" t="str">
        <f>IF($C64="","",VLOOKUP($C64,CTPit!$E$10:$BG$172,AA$49,FALSE))</f>
        <v/>
      </c>
      <c r="AB64" s="80" t="str">
        <f>IF($C64="","",VLOOKUP($C64,CTPit!$E$10:$BG$172,AB$49,FALSE))</f>
        <v/>
      </c>
      <c r="AC64" s="67" t="str">
        <f>IF($C64="","",VLOOKUP($C64,CTPit!$E$10:$BG$172,AC$49,FALSE))</f>
        <v/>
      </c>
      <c r="AD64" s="275" t="str">
        <f>IF($C64="","",VLOOKUP($C64,CTPit!$E$10:$BG$172,AD$49,FALSE))</f>
        <v/>
      </c>
      <c r="AE64" s="275" t="str">
        <f>IF($C64="","",VLOOKUP($C64,CTPit!$E$10:$BG$172,AE$49,FALSE))</f>
        <v/>
      </c>
      <c r="AF64" s="276" t="str">
        <f>IF($C64="","",VLOOKUP($C64,CTPit!$E$10:$BG$172,AF$49,FALSE))</f>
        <v/>
      </c>
      <c r="AG64" s="67" t="str">
        <f>IF($C64="","",VLOOKUP($C64,CTPit!$E$10:$BG$172,AG$49,FALSE))</f>
        <v/>
      </c>
    </row>
    <row r="65" spans="1:33">
      <c r="A65">
        <v>3</v>
      </c>
      <c r="B65" s="36" t="s">
        <v>19</v>
      </c>
      <c r="C65" s="65"/>
      <c r="D65" s="37" t="str">
        <f>IF($C65="","",VLOOKUP($C65,CTPit!$E$10:$BG$214,D$4,FALSE))</f>
        <v/>
      </c>
      <c r="E65" s="37" t="str">
        <f>IF($C65="","",VLOOKUP($C65,CTPit!$E$10:$BG$214,E$4+1,FALSE))</f>
        <v/>
      </c>
      <c r="F65" s="53" t="str">
        <f t="shared" si="94"/>
        <v/>
      </c>
      <c r="G65" s="275" t="str">
        <f t="shared" si="95"/>
        <v/>
      </c>
      <c r="H65" s="276" t="str">
        <f t="shared" si="96"/>
        <v/>
      </c>
      <c r="I65" s="99" t="str">
        <f>IF($C65="","",VLOOKUP($C65,CTPit!$E$10:$BG$172,I$49,FALSE))</f>
        <v/>
      </c>
      <c r="J65" s="275" t="str">
        <f t="shared" si="97"/>
        <v/>
      </c>
      <c r="K65" s="53" t="str">
        <f>IF($C65="","",VLOOKUP($C65,CTPit!$E$10:$BG$172,K$49,FALSE))</f>
        <v/>
      </c>
      <c r="L65" s="275" t="str">
        <f>IF($C65="","",VLOOKUP($C65,CTPit!$E$10:$BG$172,L$49,FALSE))</f>
        <v/>
      </c>
      <c r="M65" s="276" t="str">
        <f>IF($C65="","",VLOOKUP($C65,CTPit!$E$10:$BG$172,M$49,FALSE))</f>
        <v/>
      </c>
      <c r="N65" s="275" t="str">
        <f>IF($C65="","",VLOOKUP($C65,CTPit!$E$10:$BG$172,N$49,FALSE))</f>
        <v/>
      </c>
      <c r="O65" s="275" t="str">
        <f>IF($C65="","",VLOOKUP($C65,CTPit!$E$10:$BG$172,O$49,FALSE))</f>
        <v/>
      </c>
      <c r="P65" s="275" t="str">
        <f>IF($C65="","",VLOOKUP($C65,CTPit!$E$10:$BG$172,P$49,FALSE))</f>
        <v/>
      </c>
      <c r="Q65" s="275" t="str">
        <f>IF($C65="","",VLOOKUP($C65,CTPit!$E$10:$BG$172,Q$49,FALSE))</f>
        <v/>
      </c>
      <c r="R65" s="275" t="str">
        <f>IF($C65="","",VLOOKUP($C65,CTPit!$E$10:$BG$172,R$49,FALSE))</f>
        <v/>
      </c>
      <c r="S65" s="275" t="str">
        <f>IF($C65="","",VLOOKUP($C65,CTPit!$E$10:$BG$172,S$49,FALSE))</f>
        <v/>
      </c>
      <c r="T65" s="275" t="str">
        <f>IF($C65="","",VLOOKUP($C65,CTPit!$E$10:$BG$172,T$49,FALSE))</f>
        <v/>
      </c>
      <c r="U65" s="275" t="str">
        <f>IF($C65="","",VLOOKUP($C65,CTPit!$E$10:$BG$172,U$49,FALSE))</f>
        <v/>
      </c>
      <c r="V65" s="275" t="str">
        <f>IF($C65="","",VLOOKUP($C65,CTPit!$E$10:$BG$172,V$49,FALSE))</f>
        <v/>
      </c>
      <c r="W65" s="275" t="str">
        <f>IF($C65="","",VLOOKUP($C65,CTPit!$E$10:$BG$172,W$49,FALSE))</f>
        <v/>
      </c>
      <c r="X65" s="275" t="str">
        <f>IF($C65="","",VLOOKUP($C65,CTPit!$E$10:$BG$172,X$49,FALSE))</f>
        <v/>
      </c>
      <c r="Y65" s="276" t="str">
        <f>IF($C65="","",VLOOKUP($C65,CTPit!$E$10:$BG$172,Y$49,FALSE))</f>
        <v/>
      </c>
      <c r="Z65" s="53" t="str">
        <f>IF($C65="","",VLOOKUP($C65,CTPit!$E$10:$BG$172,Z$49,FALSE))</f>
        <v/>
      </c>
      <c r="AA65" s="275" t="str">
        <f>IF($C65="","",VLOOKUP($C65,CTPit!$E$10:$BG$172,AA$49,FALSE))</f>
        <v/>
      </c>
      <c r="AB65" s="80" t="str">
        <f>IF($C65="","",VLOOKUP($C65,CTPit!$E$10:$BG$172,AB$49,FALSE))</f>
        <v/>
      </c>
      <c r="AC65" s="67" t="str">
        <f>IF($C65="","",VLOOKUP($C65,CTPit!$E$10:$BG$172,AC$49,FALSE))</f>
        <v/>
      </c>
      <c r="AD65" s="275" t="str">
        <f>IF($C65="","",VLOOKUP($C65,CTPit!$E$10:$BG$172,AD$49,FALSE))</f>
        <v/>
      </c>
      <c r="AE65" s="275" t="str">
        <f>IF($C65="","",VLOOKUP($C65,CTPit!$E$10:$BG$172,AE$49,FALSE))</f>
        <v/>
      </c>
      <c r="AF65" s="276" t="str">
        <f>IF($C65="","",VLOOKUP($C65,CTPit!$E$10:$BG$172,AF$49,FALSE))</f>
        <v/>
      </c>
      <c r="AG65" s="67" t="str">
        <f>IF($C65="","",VLOOKUP($C65,CTPit!$E$10:$BG$172,AG$49,FALSE))</f>
        <v/>
      </c>
    </row>
    <row r="66" spans="1:33">
      <c r="A66">
        <v>4</v>
      </c>
      <c r="B66" s="36" t="s">
        <v>19</v>
      </c>
      <c r="C66" s="65"/>
      <c r="D66" s="37" t="str">
        <f>IF($C66="","",VLOOKUP($C66,CTPit!$E$10:$BG$214,D$4,FALSE))</f>
        <v/>
      </c>
      <c r="E66" s="37" t="str">
        <f>IF($C66="","",VLOOKUP($C66,CTPit!$E$10:$BG$214,E$4+1,FALSE))</f>
        <v/>
      </c>
      <c r="F66" s="53" t="str">
        <f t="shared" si="94"/>
        <v/>
      </c>
      <c r="G66" s="275" t="str">
        <f t="shared" si="95"/>
        <v/>
      </c>
      <c r="H66" s="276" t="str">
        <f t="shared" si="96"/>
        <v/>
      </c>
      <c r="I66" s="99" t="str">
        <f>IF($C66="","",VLOOKUP($C66,CTPit!$E$10:$BG$172,I$49,FALSE))</f>
        <v/>
      </c>
      <c r="J66" s="275" t="str">
        <f t="shared" si="97"/>
        <v/>
      </c>
      <c r="K66" s="53" t="str">
        <f>IF($C66="","",VLOOKUP($C66,CTPit!$E$10:$BG$172,K$49,FALSE))</f>
        <v/>
      </c>
      <c r="L66" s="275" t="str">
        <f>IF($C66="","",VLOOKUP($C66,CTPit!$E$10:$BG$172,L$49,FALSE))</f>
        <v/>
      </c>
      <c r="M66" s="276" t="str">
        <f>IF($C66="","",VLOOKUP($C66,CTPit!$E$10:$BG$172,M$49,FALSE))</f>
        <v/>
      </c>
      <c r="N66" s="275" t="str">
        <f>IF($C66="","",VLOOKUP($C66,CTPit!$E$10:$BG$172,N$49,FALSE))</f>
        <v/>
      </c>
      <c r="O66" s="275" t="str">
        <f>IF($C66="","",VLOOKUP($C66,CTPit!$E$10:$BG$172,O$49,FALSE))</f>
        <v/>
      </c>
      <c r="P66" s="275" t="str">
        <f>IF($C66="","",VLOOKUP($C66,CTPit!$E$10:$BG$172,P$49,FALSE))</f>
        <v/>
      </c>
      <c r="Q66" s="275" t="str">
        <f>IF($C66="","",VLOOKUP($C66,CTPit!$E$10:$BG$172,Q$49,FALSE))</f>
        <v/>
      </c>
      <c r="R66" s="275" t="str">
        <f>IF($C66="","",VLOOKUP($C66,CTPit!$E$10:$BG$172,R$49,FALSE))</f>
        <v/>
      </c>
      <c r="S66" s="275" t="str">
        <f>IF($C66="","",VLOOKUP($C66,CTPit!$E$10:$BG$172,S$49,FALSE))</f>
        <v/>
      </c>
      <c r="T66" s="275" t="str">
        <f>IF($C66="","",VLOOKUP($C66,CTPit!$E$10:$BG$172,T$49,FALSE))</f>
        <v/>
      </c>
      <c r="U66" s="275" t="str">
        <f>IF($C66="","",VLOOKUP($C66,CTPit!$E$10:$BG$172,U$49,FALSE))</f>
        <v/>
      </c>
      <c r="V66" s="275" t="str">
        <f>IF($C66="","",VLOOKUP($C66,CTPit!$E$10:$BG$172,V$49,FALSE))</f>
        <v/>
      </c>
      <c r="W66" s="275" t="str">
        <f>IF($C66="","",VLOOKUP($C66,CTPit!$E$10:$BG$172,W$49,FALSE))</f>
        <v/>
      </c>
      <c r="X66" s="275" t="str">
        <f>IF($C66="","",VLOOKUP($C66,CTPit!$E$10:$BG$172,X$49,FALSE))</f>
        <v/>
      </c>
      <c r="Y66" s="276" t="str">
        <f>IF($C66="","",VLOOKUP($C66,CTPit!$E$10:$BG$172,Y$49,FALSE))</f>
        <v/>
      </c>
      <c r="Z66" s="53" t="str">
        <f>IF($C66="","",VLOOKUP($C66,CTPit!$E$10:$BG$172,Z$49,FALSE))</f>
        <v/>
      </c>
      <c r="AA66" s="275" t="str">
        <f>IF($C66="","",VLOOKUP($C66,CTPit!$E$10:$BG$172,AA$49,FALSE))</f>
        <v/>
      </c>
      <c r="AB66" s="80" t="str">
        <f>IF($C66="","",VLOOKUP($C66,CTPit!$E$10:$BG$172,AB$49,FALSE))</f>
        <v/>
      </c>
      <c r="AC66" s="67" t="str">
        <f>IF($C66="","",VLOOKUP($C66,CTPit!$E$10:$BG$172,AC$49,FALSE))</f>
        <v/>
      </c>
      <c r="AD66" s="275" t="str">
        <f>IF($C66="","",VLOOKUP($C66,CTPit!$E$10:$BG$172,AD$49,FALSE))</f>
        <v/>
      </c>
      <c r="AE66" s="275" t="str">
        <f>IF($C66="","",VLOOKUP($C66,CTPit!$E$10:$BG$172,AE$49,FALSE))</f>
        <v/>
      </c>
      <c r="AF66" s="276" t="str">
        <f>IF($C66="","",VLOOKUP($C66,CTPit!$E$10:$BG$172,AF$49,FALSE))</f>
        <v/>
      </c>
      <c r="AG66" s="67" t="str">
        <f>IF($C66="","",VLOOKUP($C66,CTPit!$E$10:$BG$172,AG$49,FALSE))</f>
        <v/>
      </c>
    </row>
    <row r="67" spans="1:33">
      <c r="A67">
        <v>5</v>
      </c>
      <c r="B67" s="36" t="s">
        <v>19</v>
      </c>
      <c r="C67" s="65"/>
      <c r="D67" s="37" t="str">
        <f>IF($C67="","",VLOOKUP($C67,CTPit!$E$10:$BG$214,D$4,FALSE))</f>
        <v/>
      </c>
      <c r="E67" s="37" t="str">
        <f>IF($C67="","",VLOOKUP($C67,CTPit!$E$10:$BG$214,E$4+1,FALSE))</f>
        <v/>
      </c>
      <c r="F67" s="53" t="str">
        <f t="shared" si="94"/>
        <v/>
      </c>
      <c r="G67" s="275" t="str">
        <f t="shared" si="95"/>
        <v/>
      </c>
      <c r="H67" s="276" t="str">
        <f t="shared" si="96"/>
        <v/>
      </c>
      <c r="I67" s="99" t="str">
        <f>IF($C67="","",VLOOKUP($C67,CTPit!$E$10:$BG$172,I$49,FALSE))</f>
        <v/>
      </c>
      <c r="J67" s="275" t="str">
        <f t="shared" si="97"/>
        <v/>
      </c>
      <c r="K67" s="53" t="str">
        <f>IF($C67="","",VLOOKUP($C67,CTPit!$E$10:$BG$172,K$49,FALSE))</f>
        <v/>
      </c>
      <c r="L67" s="275" t="str">
        <f>IF($C67="","",VLOOKUP($C67,CTPit!$E$10:$BG$172,L$49,FALSE))</f>
        <v/>
      </c>
      <c r="M67" s="276" t="str">
        <f>IF($C67="","",VLOOKUP($C67,CTPit!$E$10:$BG$172,M$49,FALSE))</f>
        <v/>
      </c>
      <c r="N67" s="275" t="str">
        <f>IF($C67="","",VLOOKUP($C67,CTPit!$E$10:$BG$172,N$49,FALSE))</f>
        <v/>
      </c>
      <c r="O67" s="275" t="str">
        <f>IF($C67="","",VLOOKUP($C67,CTPit!$E$10:$BG$172,O$49,FALSE))</f>
        <v/>
      </c>
      <c r="P67" s="275" t="str">
        <f>IF($C67="","",VLOOKUP($C67,CTPit!$E$10:$BG$172,P$49,FALSE))</f>
        <v/>
      </c>
      <c r="Q67" s="275" t="str">
        <f>IF($C67="","",VLOOKUP($C67,CTPit!$E$10:$BG$172,Q$49,FALSE))</f>
        <v/>
      </c>
      <c r="R67" s="275" t="str">
        <f>IF($C67="","",VLOOKUP($C67,CTPit!$E$10:$BG$172,R$49,FALSE))</f>
        <v/>
      </c>
      <c r="S67" s="275" t="str">
        <f>IF($C67="","",VLOOKUP($C67,CTPit!$E$10:$BG$172,S$49,FALSE))</f>
        <v/>
      </c>
      <c r="T67" s="275" t="str">
        <f>IF($C67="","",VLOOKUP($C67,CTPit!$E$10:$BG$172,T$49,FALSE))</f>
        <v/>
      </c>
      <c r="U67" s="275" t="str">
        <f>IF($C67="","",VLOOKUP($C67,CTPit!$E$10:$BG$172,U$49,FALSE))</f>
        <v/>
      </c>
      <c r="V67" s="275" t="str">
        <f>IF($C67="","",VLOOKUP($C67,CTPit!$E$10:$BG$172,V$49,FALSE))</f>
        <v/>
      </c>
      <c r="W67" s="275" t="str">
        <f>IF($C67="","",VLOOKUP($C67,CTPit!$E$10:$BG$172,W$49,FALSE))</f>
        <v/>
      </c>
      <c r="X67" s="275" t="str">
        <f>IF($C67="","",VLOOKUP($C67,CTPit!$E$10:$BG$172,X$49,FALSE))</f>
        <v/>
      </c>
      <c r="Y67" s="276" t="str">
        <f>IF($C67="","",VLOOKUP($C67,CTPit!$E$10:$BG$172,Y$49,FALSE))</f>
        <v/>
      </c>
      <c r="Z67" s="53" t="str">
        <f>IF($C67="","",VLOOKUP($C67,CTPit!$E$10:$BG$172,Z$49,FALSE))</f>
        <v/>
      </c>
      <c r="AA67" s="275" t="str">
        <f>IF($C67="","",VLOOKUP($C67,CTPit!$E$10:$BG$172,AA$49,FALSE))</f>
        <v/>
      </c>
      <c r="AB67" s="80" t="str">
        <f>IF($C67="","",VLOOKUP($C67,CTPit!$E$10:$BG$172,AB$49,FALSE))</f>
        <v/>
      </c>
      <c r="AC67" s="67" t="str">
        <f>IF($C67="","",VLOOKUP($C67,CTPit!$E$10:$BG$172,AC$49,FALSE))</f>
        <v/>
      </c>
      <c r="AD67" s="275" t="str">
        <f>IF($C67="","",VLOOKUP($C67,CTPit!$E$10:$BG$172,AD$49,FALSE))</f>
        <v/>
      </c>
      <c r="AE67" s="275" t="str">
        <f>IF($C67="","",VLOOKUP($C67,CTPit!$E$10:$BG$172,AE$49,FALSE))</f>
        <v/>
      </c>
      <c r="AF67" s="276" t="str">
        <f>IF($C67="","",VLOOKUP($C67,CTPit!$E$10:$BG$172,AF$49,FALSE))</f>
        <v/>
      </c>
      <c r="AG67" s="67" t="str">
        <f>IF($C67="","",VLOOKUP($C67,CTPit!$E$10:$BG$172,AG$49,FALSE))</f>
        <v/>
      </c>
    </row>
    <row r="68" spans="1:33">
      <c r="A68">
        <v>6</v>
      </c>
      <c r="B68" s="36" t="s">
        <v>19</v>
      </c>
      <c r="C68" s="65"/>
      <c r="D68" s="37" t="str">
        <f>IF($C68="","",VLOOKUP($C68,CTPit!$E$10:$BG$214,D$4,FALSE))</f>
        <v/>
      </c>
      <c r="E68" s="37" t="str">
        <f>IF($C68="","",VLOOKUP($C68,CTPit!$E$10:$BG$214,E$4+1,FALSE))</f>
        <v/>
      </c>
      <c r="F68" s="53" t="str">
        <f t="shared" si="94"/>
        <v/>
      </c>
      <c r="G68" s="275" t="str">
        <f t="shared" si="95"/>
        <v/>
      </c>
      <c r="H68" s="276" t="str">
        <f t="shared" si="96"/>
        <v/>
      </c>
      <c r="I68" s="99" t="str">
        <f>IF($C68="","",VLOOKUP($C68,CTPit!$E$10:$BG$172,I$49,FALSE))</f>
        <v/>
      </c>
      <c r="J68" s="275" t="str">
        <f t="shared" si="97"/>
        <v/>
      </c>
      <c r="K68" s="53" t="str">
        <f>IF($C68="","",VLOOKUP($C68,CTPit!$E$10:$BG$172,K$49,FALSE))</f>
        <v/>
      </c>
      <c r="L68" s="275" t="str">
        <f>IF($C68="","",VLOOKUP($C68,CTPit!$E$10:$BG$172,L$49,FALSE))</f>
        <v/>
      </c>
      <c r="M68" s="276" t="str">
        <f>IF($C68="","",VLOOKUP($C68,CTPit!$E$10:$BG$172,M$49,FALSE))</f>
        <v/>
      </c>
      <c r="N68" s="275" t="str">
        <f>IF($C68="","",VLOOKUP($C68,CTPit!$E$10:$BG$172,N$49,FALSE))</f>
        <v/>
      </c>
      <c r="O68" s="275" t="str">
        <f>IF($C68="","",VLOOKUP($C68,CTPit!$E$10:$BG$172,O$49,FALSE))</f>
        <v/>
      </c>
      <c r="P68" s="275" t="str">
        <f>IF($C68="","",VLOOKUP($C68,CTPit!$E$10:$BG$172,P$49,FALSE))</f>
        <v/>
      </c>
      <c r="Q68" s="275" t="str">
        <f>IF($C68="","",VLOOKUP($C68,CTPit!$E$10:$BG$172,Q$49,FALSE))</f>
        <v/>
      </c>
      <c r="R68" s="275" t="str">
        <f>IF($C68="","",VLOOKUP($C68,CTPit!$E$10:$BG$172,R$49,FALSE))</f>
        <v/>
      </c>
      <c r="S68" s="275" t="str">
        <f>IF($C68="","",VLOOKUP($C68,CTPit!$E$10:$BG$172,S$49,FALSE))</f>
        <v/>
      </c>
      <c r="T68" s="275" t="str">
        <f>IF($C68="","",VLOOKUP($C68,CTPit!$E$10:$BG$172,T$49,FALSE))</f>
        <v/>
      </c>
      <c r="U68" s="275" t="str">
        <f>IF($C68="","",VLOOKUP($C68,CTPit!$E$10:$BG$172,U$49,FALSE))</f>
        <v/>
      </c>
      <c r="V68" s="275" t="str">
        <f>IF($C68="","",VLOOKUP($C68,CTPit!$E$10:$BG$172,V$49,FALSE))</f>
        <v/>
      </c>
      <c r="W68" s="275" t="str">
        <f>IF($C68="","",VLOOKUP($C68,CTPit!$E$10:$BG$172,W$49,FALSE))</f>
        <v/>
      </c>
      <c r="X68" s="275" t="str">
        <f>IF($C68="","",VLOOKUP($C68,CTPit!$E$10:$BG$172,X$49,FALSE))</f>
        <v/>
      </c>
      <c r="Y68" s="276" t="str">
        <f>IF($C68="","",VLOOKUP($C68,CTPit!$E$10:$BG$172,Y$49,FALSE))</f>
        <v/>
      </c>
      <c r="Z68" s="53" t="str">
        <f>IF($C68="","",VLOOKUP($C68,CTPit!$E$10:$BG$172,Z$49,FALSE))</f>
        <v/>
      </c>
      <c r="AA68" s="275" t="str">
        <f>IF($C68="","",VLOOKUP($C68,CTPit!$E$10:$BG$172,AA$49,FALSE))</f>
        <v/>
      </c>
      <c r="AB68" s="80" t="str">
        <f>IF($C68="","",VLOOKUP($C68,CTPit!$E$10:$BG$172,AB$49,FALSE))</f>
        <v/>
      </c>
      <c r="AC68" s="67" t="str">
        <f>IF($C68="","",VLOOKUP($C68,CTPit!$E$10:$BG$172,AC$49,FALSE))</f>
        <v/>
      </c>
      <c r="AD68" s="275" t="str">
        <f>IF($C68="","",VLOOKUP($C68,CTPit!$E$10:$BG$172,AD$49,FALSE))</f>
        <v/>
      </c>
      <c r="AE68" s="275" t="str">
        <f>IF($C68="","",VLOOKUP($C68,CTPit!$E$10:$BG$172,AE$49,FALSE))</f>
        <v/>
      </c>
      <c r="AF68" s="276" t="str">
        <f>IF($C68="","",VLOOKUP($C68,CTPit!$E$10:$BG$172,AF$49,FALSE))</f>
        <v/>
      </c>
      <c r="AG68" s="67" t="str">
        <f>IF($C68="","",VLOOKUP($C68,CTPit!$E$10:$BG$172,AG$49,FALSE))</f>
        <v/>
      </c>
    </row>
    <row r="69" spans="1:33">
      <c r="A69">
        <v>7</v>
      </c>
      <c r="B69" s="36" t="s">
        <v>19</v>
      </c>
      <c r="C69" s="65"/>
      <c r="D69" s="37" t="str">
        <f>IF($C69="","",VLOOKUP($C69,CTPit!$E$10:$BG$214,D$4,FALSE))</f>
        <v/>
      </c>
      <c r="E69" s="37" t="str">
        <f>IF($C69="","",VLOOKUP($C69,CTPit!$E$10:$BG$214,E$4+1,FALSE))</f>
        <v/>
      </c>
      <c r="F69" s="53" t="str">
        <f t="shared" si="94"/>
        <v/>
      </c>
      <c r="G69" s="275" t="str">
        <f t="shared" si="95"/>
        <v/>
      </c>
      <c r="H69" s="276" t="str">
        <f t="shared" si="96"/>
        <v/>
      </c>
      <c r="I69" s="99" t="str">
        <f>IF($C69="","",VLOOKUP($C69,CTPit!$E$10:$BG$172,I$49,FALSE))</f>
        <v/>
      </c>
      <c r="J69" s="275" t="str">
        <f t="shared" si="97"/>
        <v/>
      </c>
      <c r="K69" s="53" t="str">
        <f>IF($C69="","",VLOOKUP($C69,CTPit!$E$10:$BG$172,K$49,FALSE))</f>
        <v/>
      </c>
      <c r="L69" s="275" t="str">
        <f>IF($C69="","",VLOOKUP($C69,CTPit!$E$10:$BG$172,L$49,FALSE))</f>
        <v/>
      </c>
      <c r="M69" s="276" t="str">
        <f>IF($C69="","",VLOOKUP($C69,CTPit!$E$10:$BG$172,M$49,FALSE))</f>
        <v/>
      </c>
      <c r="N69" s="275" t="str">
        <f>IF($C69="","",VLOOKUP($C69,CTPit!$E$10:$BG$172,N$49,FALSE))</f>
        <v/>
      </c>
      <c r="O69" s="275" t="str">
        <f>IF($C69="","",VLOOKUP($C69,CTPit!$E$10:$BG$172,O$49,FALSE))</f>
        <v/>
      </c>
      <c r="P69" s="275" t="str">
        <f>IF($C69="","",VLOOKUP($C69,CTPit!$E$10:$BG$172,P$49,FALSE))</f>
        <v/>
      </c>
      <c r="Q69" s="275" t="str">
        <f>IF($C69="","",VLOOKUP($C69,CTPit!$E$10:$BG$172,Q$49,FALSE))</f>
        <v/>
      </c>
      <c r="R69" s="275" t="str">
        <f>IF($C69="","",VLOOKUP($C69,CTPit!$E$10:$BG$172,R$49,FALSE))</f>
        <v/>
      </c>
      <c r="S69" s="275" t="str">
        <f>IF($C69="","",VLOOKUP($C69,CTPit!$E$10:$BG$172,S$49,FALSE))</f>
        <v/>
      </c>
      <c r="T69" s="275" t="str">
        <f>IF($C69="","",VLOOKUP($C69,CTPit!$E$10:$BG$172,T$49,FALSE))</f>
        <v/>
      </c>
      <c r="U69" s="275" t="str">
        <f>IF($C69="","",VLOOKUP($C69,CTPit!$E$10:$BG$172,U$49,FALSE))</f>
        <v/>
      </c>
      <c r="V69" s="275" t="str">
        <f>IF($C69="","",VLOOKUP($C69,CTPit!$E$10:$BG$172,V$49,FALSE))</f>
        <v/>
      </c>
      <c r="W69" s="275" t="str">
        <f>IF($C69="","",VLOOKUP($C69,CTPit!$E$10:$BG$172,W$49,FALSE))</f>
        <v/>
      </c>
      <c r="X69" s="275" t="str">
        <f>IF($C69="","",VLOOKUP($C69,CTPit!$E$10:$BG$172,X$49,FALSE))</f>
        <v/>
      </c>
      <c r="Y69" s="276" t="str">
        <f>IF($C69="","",VLOOKUP($C69,CTPit!$E$10:$BG$172,Y$49,FALSE))</f>
        <v/>
      </c>
      <c r="Z69" s="53" t="str">
        <f>IF($C69="","",VLOOKUP($C69,CTPit!$E$10:$BG$172,Z$49,FALSE))</f>
        <v/>
      </c>
      <c r="AA69" s="275" t="str">
        <f>IF($C69="","",VLOOKUP($C69,CTPit!$E$10:$BG$172,AA$49,FALSE))</f>
        <v/>
      </c>
      <c r="AB69" s="80" t="str">
        <f>IF($C69="","",VLOOKUP($C69,CTPit!$E$10:$BG$172,AB$49,FALSE))</f>
        <v/>
      </c>
      <c r="AC69" s="67" t="str">
        <f>IF($C69="","",VLOOKUP($C69,CTPit!$E$10:$BG$172,AC$49,FALSE))</f>
        <v/>
      </c>
      <c r="AD69" s="275" t="str">
        <f>IF($C69="","",VLOOKUP($C69,CTPit!$E$10:$BG$172,AD$49,FALSE))</f>
        <v/>
      </c>
      <c r="AE69" s="275" t="str">
        <f>IF($C69="","",VLOOKUP($C69,CTPit!$E$10:$BG$172,AE$49,FALSE))</f>
        <v/>
      </c>
      <c r="AF69" s="276" t="str">
        <f>IF($C69="","",VLOOKUP($C69,CTPit!$E$10:$BG$172,AF$49,FALSE))</f>
        <v/>
      </c>
      <c r="AG69" s="67" t="str">
        <f>IF($C69="","",VLOOKUP($C69,CTPit!$E$10:$BG$172,AG$49,FALSE))</f>
        <v/>
      </c>
    </row>
    <row r="70" spans="1:33">
      <c r="A70">
        <v>8</v>
      </c>
      <c r="B70" s="36" t="s">
        <v>19</v>
      </c>
      <c r="C70" s="65"/>
      <c r="D70" s="37" t="str">
        <f>IF($C70="","",VLOOKUP($C70,CTPit!$E$10:$BG$214,D$4,FALSE))</f>
        <v/>
      </c>
      <c r="E70" s="37" t="str">
        <f>IF($C70="","",VLOOKUP($C70,CTPit!$E$10:$BG$214,E$4+1,FALSE))</f>
        <v/>
      </c>
      <c r="F70" s="53" t="str">
        <f t="shared" si="94"/>
        <v/>
      </c>
      <c r="G70" s="275" t="str">
        <f t="shared" si="95"/>
        <v/>
      </c>
      <c r="H70" s="276" t="str">
        <f t="shared" si="96"/>
        <v/>
      </c>
      <c r="I70" s="99" t="str">
        <f>IF($C70="","",VLOOKUP($C70,CTPit!$E$10:$BG$172,I$49,FALSE))</f>
        <v/>
      </c>
      <c r="J70" s="275" t="str">
        <f t="shared" si="97"/>
        <v/>
      </c>
      <c r="K70" s="53" t="str">
        <f>IF($C70="","",VLOOKUP($C70,CTPit!$E$10:$BG$172,K$49,FALSE))</f>
        <v/>
      </c>
      <c r="L70" s="275" t="str">
        <f>IF($C70="","",VLOOKUP($C70,CTPit!$E$10:$BG$172,L$49,FALSE))</f>
        <v/>
      </c>
      <c r="M70" s="276" t="str">
        <f>IF($C70="","",VLOOKUP($C70,CTPit!$E$10:$BG$172,M$49,FALSE))</f>
        <v/>
      </c>
      <c r="N70" s="275" t="str">
        <f>IF($C70="","",VLOOKUP($C70,CTPit!$E$10:$BG$172,N$49,FALSE))</f>
        <v/>
      </c>
      <c r="O70" s="275" t="str">
        <f>IF($C70="","",VLOOKUP($C70,CTPit!$E$10:$BG$172,O$49,FALSE))</f>
        <v/>
      </c>
      <c r="P70" s="275" t="str">
        <f>IF($C70="","",VLOOKUP($C70,CTPit!$E$10:$BG$172,P$49,FALSE))</f>
        <v/>
      </c>
      <c r="Q70" s="275" t="str">
        <f>IF($C70="","",VLOOKUP($C70,CTPit!$E$10:$BG$172,Q$49,FALSE))</f>
        <v/>
      </c>
      <c r="R70" s="275" t="str">
        <f>IF($C70="","",VLOOKUP($C70,CTPit!$E$10:$BG$172,R$49,FALSE))</f>
        <v/>
      </c>
      <c r="S70" s="275" t="str">
        <f>IF($C70="","",VLOOKUP($C70,CTPit!$E$10:$BG$172,S$49,FALSE))</f>
        <v/>
      </c>
      <c r="T70" s="275" t="str">
        <f>IF($C70="","",VLOOKUP($C70,CTPit!$E$10:$BG$172,T$49,FALSE))</f>
        <v/>
      </c>
      <c r="U70" s="275" t="str">
        <f>IF($C70="","",VLOOKUP($C70,CTPit!$E$10:$BG$172,U$49,FALSE))</f>
        <v/>
      </c>
      <c r="V70" s="275" t="str">
        <f>IF($C70="","",VLOOKUP($C70,CTPit!$E$10:$BG$172,V$49,FALSE))</f>
        <v/>
      </c>
      <c r="W70" s="275" t="str">
        <f>IF($C70="","",VLOOKUP($C70,CTPit!$E$10:$BG$172,W$49,FALSE))</f>
        <v/>
      </c>
      <c r="X70" s="275" t="str">
        <f>IF($C70="","",VLOOKUP($C70,CTPit!$E$10:$BG$172,X$49,FALSE))</f>
        <v/>
      </c>
      <c r="Y70" s="276" t="str">
        <f>IF($C70="","",VLOOKUP($C70,CTPit!$E$10:$BG$172,Y$49,FALSE))</f>
        <v/>
      </c>
      <c r="Z70" s="53" t="str">
        <f>IF($C70="","",VLOOKUP($C70,CTPit!$E$10:$BG$172,Z$49,FALSE))</f>
        <v/>
      </c>
      <c r="AA70" s="275" t="str">
        <f>IF($C70="","",VLOOKUP($C70,CTPit!$E$10:$BG$172,AA$49,FALSE))</f>
        <v/>
      </c>
      <c r="AB70" s="80" t="str">
        <f>IF($C70="","",VLOOKUP($C70,CTPit!$E$10:$BG$172,AB$49,FALSE))</f>
        <v/>
      </c>
      <c r="AC70" s="67" t="str">
        <f>IF($C70="","",VLOOKUP($C70,CTPit!$E$10:$BG$172,AC$49,FALSE))</f>
        <v/>
      </c>
      <c r="AD70" s="275" t="str">
        <f>IF($C70="","",VLOOKUP($C70,CTPit!$E$10:$BG$172,AD$49,FALSE))</f>
        <v/>
      </c>
      <c r="AE70" s="275" t="str">
        <f>IF($C70="","",VLOOKUP($C70,CTPit!$E$10:$BG$172,AE$49,FALSE))</f>
        <v/>
      </c>
      <c r="AF70" s="276" t="str">
        <f>IF($C70="","",VLOOKUP($C70,CTPit!$E$10:$BG$172,AF$49,FALSE))</f>
        <v/>
      </c>
      <c r="AG70" s="67" t="str">
        <f>IF($C70="","",VLOOKUP($C70,CTPit!$E$10:$BG$172,AG$49,FALSE))</f>
        <v/>
      </c>
    </row>
    <row r="71" spans="1:33">
      <c r="A71">
        <v>9</v>
      </c>
      <c r="B71" s="36" t="s">
        <v>19</v>
      </c>
      <c r="C71" s="65"/>
      <c r="D71" s="37" t="str">
        <f>IF($C71="","",VLOOKUP($C71,CTPit!$E$10:$BG$214,D$4,FALSE))</f>
        <v/>
      </c>
      <c r="E71" s="37" t="str">
        <f>IF($C71="","",VLOOKUP($C71,CTPit!$E$10:$BG$214,E$4+1,FALSE))</f>
        <v/>
      </c>
      <c r="F71" s="53" t="str">
        <f t="shared" si="94"/>
        <v/>
      </c>
      <c r="G71" s="275" t="str">
        <f t="shared" si="95"/>
        <v/>
      </c>
      <c r="H71" s="276" t="str">
        <f t="shared" si="96"/>
        <v/>
      </c>
      <c r="I71" s="99" t="str">
        <f>IF($C71="","",VLOOKUP($C71,CTPit!$E$10:$BG$172,I$49,FALSE))</f>
        <v/>
      </c>
      <c r="J71" s="275" t="str">
        <f t="shared" si="97"/>
        <v/>
      </c>
      <c r="K71" s="53" t="str">
        <f>IF($C71="","",VLOOKUP($C71,CTPit!$E$10:$BG$172,K$49,FALSE))</f>
        <v/>
      </c>
      <c r="L71" s="275" t="str">
        <f>IF($C71="","",VLOOKUP($C71,CTPit!$E$10:$BG$172,L$49,FALSE))</f>
        <v/>
      </c>
      <c r="M71" s="276" t="str">
        <f>IF($C71="","",VLOOKUP($C71,CTPit!$E$10:$BG$172,M$49,FALSE))</f>
        <v/>
      </c>
      <c r="N71" s="275" t="str">
        <f>IF($C71="","",VLOOKUP($C71,CTPit!$E$10:$BG$172,N$49,FALSE))</f>
        <v/>
      </c>
      <c r="O71" s="275" t="str">
        <f>IF($C71="","",VLOOKUP($C71,CTPit!$E$10:$BG$172,O$49,FALSE))</f>
        <v/>
      </c>
      <c r="P71" s="275" t="str">
        <f>IF($C71="","",VLOOKUP($C71,CTPit!$E$10:$BG$172,P$49,FALSE))</f>
        <v/>
      </c>
      <c r="Q71" s="275" t="str">
        <f>IF($C71="","",VLOOKUP($C71,CTPit!$E$10:$BG$172,Q$49,FALSE))</f>
        <v/>
      </c>
      <c r="R71" s="275" t="str">
        <f>IF($C71="","",VLOOKUP($C71,CTPit!$E$10:$BG$172,R$49,FALSE))</f>
        <v/>
      </c>
      <c r="S71" s="275" t="str">
        <f>IF($C71="","",VLOOKUP($C71,CTPit!$E$10:$BG$172,S$49,FALSE))</f>
        <v/>
      </c>
      <c r="T71" s="275" t="str">
        <f>IF($C71="","",VLOOKUP($C71,CTPit!$E$10:$BG$172,T$49,FALSE))</f>
        <v/>
      </c>
      <c r="U71" s="275" t="str">
        <f>IF($C71="","",VLOOKUP($C71,CTPit!$E$10:$BG$172,U$49,FALSE))</f>
        <v/>
      </c>
      <c r="V71" s="275" t="str">
        <f>IF($C71="","",VLOOKUP($C71,CTPit!$E$10:$BG$172,V$49,FALSE))</f>
        <v/>
      </c>
      <c r="W71" s="275" t="str">
        <f>IF($C71="","",VLOOKUP($C71,CTPit!$E$10:$BG$172,W$49,FALSE))</f>
        <v/>
      </c>
      <c r="X71" s="275" t="str">
        <f>IF($C71="","",VLOOKUP($C71,CTPit!$E$10:$BG$172,X$49,FALSE))</f>
        <v/>
      </c>
      <c r="Y71" s="276" t="str">
        <f>IF($C71="","",VLOOKUP($C71,CTPit!$E$10:$BG$172,Y$49,FALSE))</f>
        <v/>
      </c>
      <c r="Z71" s="53" t="str">
        <f>IF($C71="","",VLOOKUP($C71,CTPit!$E$10:$BG$172,Z$49,FALSE))</f>
        <v/>
      </c>
      <c r="AA71" s="275" t="str">
        <f>IF($C71="","",VLOOKUP($C71,CTPit!$E$10:$BG$172,AA$49,FALSE))</f>
        <v/>
      </c>
      <c r="AB71" s="80" t="str">
        <f>IF($C71="","",VLOOKUP($C71,CTPit!$E$10:$BG$172,AB$49,FALSE))</f>
        <v/>
      </c>
      <c r="AC71" s="67" t="str">
        <f>IF($C71="","",VLOOKUP($C71,CTPit!$E$10:$BG$172,AC$49,FALSE))</f>
        <v/>
      </c>
      <c r="AD71" s="275" t="str">
        <f>IF($C71="","",VLOOKUP($C71,CTPit!$E$10:$BG$172,AD$49,FALSE))</f>
        <v/>
      </c>
      <c r="AE71" s="275" t="str">
        <f>IF($C71="","",VLOOKUP($C71,CTPit!$E$10:$BG$172,AE$49,FALSE))</f>
        <v/>
      </c>
      <c r="AF71" s="276" t="str">
        <f>IF($C71="","",VLOOKUP($C71,CTPit!$E$10:$BG$172,AF$49,FALSE))</f>
        <v/>
      </c>
      <c r="AG71" s="67" t="str">
        <f>IF($C71="","",VLOOKUP($C71,CTPit!$E$10:$BG$172,AG$49,FALSE))</f>
        <v/>
      </c>
    </row>
    <row r="72" spans="1:33">
      <c r="A72">
        <v>10</v>
      </c>
      <c r="B72" s="39" t="s">
        <v>19</v>
      </c>
      <c r="C72" s="40"/>
      <c r="D72" s="40" t="str">
        <f>IF($C72="","",VLOOKUP($C72,CTPit!$E$10:$BG$214,D$4,FALSE))</f>
        <v/>
      </c>
      <c r="E72" s="40" t="str">
        <f>IF($C72="","",VLOOKUP($C72,CTPit!$E$10:$BG$214,E$4+1,FALSE))</f>
        <v/>
      </c>
      <c r="F72" s="54" t="str">
        <f t="shared" si="94"/>
        <v/>
      </c>
      <c r="G72" s="273" t="str">
        <f t="shared" si="95"/>
        <v/>
      </c>
      <c r="H72" s="274" t="str">
        <f t="shared" si="96"/>
        <v/>
      </c>
      <c r="I72" s="100" t="str">
        <f>IF($C72="","",VLOOKUP($C72,CTPit!$E$10:$BG$172,I$49,FALSE))</f>
        <v/>
      </c>
      <c r="J72" s="273" t="str">
        <f t="shared" si="97"/>
        <v/>
      </c>
      <c r="K72" s="54" t="str">
        <f>IF($C72="","",VLOOKUP($C72,CTPit!$E$10:$BG$172,K$49,FALSE))</f>
        <v/>
      </c>
      <c r="L72" s="273" t="str">
        <f>IF($C72="","",VLOOKUP($C72,CTPit!$E$10:$BG$172,L$49,FALSE))</f>
        <v/>
      </c>
      <c r="M72" s="274" t="str">
        <f>IF($C72="","",VLOOKUP($C72,CTPit!$E$10:$BG$172,M$49,FALSE))</f>
        <v/>
      </c>
      <c r="N72" s="273" t="str">
        <f>IF($C72="","",VLOOKUP($C72,CTPit!$E$10:$BG$172,N$49,FALSE))</f>
        <v/>
      </c>
      <c r="O72" s="273" t="str">
        <f>IF($C72="","",VLOOKUP($C72,CTPit!$E$10:$BG$172,O$49,FALSE))</f>
        <v/>
      </c>
      <c r="P72" s="273" t="str">
        <f>IF($C72="","",VLOOKUP($C72,CTPit!$E$10:$BG$172,P$49,FALSE))</f>
        <v/>
      </c>
      <c r="Q72" s="273" t="str">
        <f>IF($C72="","",VLOOKUP($C72,CTPit!$E$10:$BG$172,Q$49,FALSE))</f>
        <v/>
      </c>
      <c r="R72" s="273" t="str">
        <f>IF($C72="","",VLOOKUP($C72,CTPit!$E$10:$BG$172,R$49,FALSE))</f>
        <v/>
      </c>
      <c r="S72" s="273" t="str">
        <f>IF($C72="","",VLOOKUP($C72,CTPit!$E$10:$BG$172,S$49,FALSE))</f>
        <v/>
      </c>
      <c r="T72" s="273" t="str">
        <f>IF($C72="","",VLOOKUP($C72,CTPit!$E$10:$BG$172,T$49,FALSE))</f>
        <v/>
      </c>
      <c r="U72" s="273" t="str">
        <f>IF($C72="","",VLOOKUP($C72,CTPit!$E$10:$BG$172,U$49,FALSE))</f>
        <v/>
      </c>
      <c r="V72" s="273" t="str">
        <f>IF($C72="","",VLOOKUP($C72,CTPit!$E$10:$BG$172,V$49,FALSE))</f>
        <v/>
      </c>
      <c r="W72" s="273" t="str">
        <f>IF($C72="","",VLOOKUP($C72,CTPit!$E$10:$BG$172,W$49,FALSE))</f>
        <v/>
      </c>
      <c r="X72" s="273" t="str">
        <f>IF($C72="","",VLOOKUP($C72,CTPit!$E$10:$BG$172,X$49,FALSE))</f>
        <v/>
      </c>
      <c r="Y72" s="274" t="str">
        <f>IF($C72="","",VLOOKUP($C72,CTPit!$E$10:$BG$172,Y$49,FALSE))</f>
        <v/>
      </c>
      <c r="Z72" s="54" t="str">
        <f>IF($C72="","",VLOOKUP($C72,CTPit!$E$10:$BG$172,Z$49,FALSE))</f>
        <v/>
      </c>
      <c r="AA72" s="273" t="str">
        <f>IF($C72="","",VLOOKUP($C72,CTPit!$E$10:$BG$172,AA$49,FALSE))</f>
        <v/>
      </c>
      <c r="AB72" s="81" t="str">
        <f>IF($C72="","",VLOOKUP($C72,CTPit!$E$10:$BG$172,AB$49,FALSE))</f>
        <v/>
      </c>
      <c r="AC72" s="68" t="str">
        <f>IF($C72="","",VLOOKUP($C72,CTPit!$E$10:$BG$172,AC$49,FALSE))</f>
        <v/>
      </c>
      <c r="AD72" s="273" t="str">
        <f>IF($C72="","",VLOOKUP($C72,CTPit!$E$10:$BG$172,AD$49,FALSE))</f>
        <v/>
      </c>
      <c r="AE72" s="273" t="str">
        <f>IF($C72="","",VLOOKUP($C72,CTPit!$E$10:$BG$172,AE$49,FALSE))</f>
        <v/>
      </c>
      <c r="AF72" s="274" t="str">
        <f>IF($C72="","",VLOOKUP($C72,CTPit!$E$10:$BG$172,AF$49,FALSE))</f>
        <v/>
      </c>
      <c r="AG72" s="68" t="str">
        <f>IF($C72="","",VLOOKUP($C72,CTPit!$E$10:$BG$172,AG$49,FALSE))</f>
        <v/>
      </c>
    </row>
  </sheetData>
  <mergeCells count="6">
    <mergeCell ref="AH40:AT40"/>
    <mergeCell ref="AG35:AT35"/>
    <mergeCell ref="AH36:AT36"/>
    <mergeCell ref="AH37:AT37"/>
    <mergeCell ref="AH38:AT38"/>
    <mergeCell ref="AH39:AT39"/>
  </mergeCells>
  <conditionalFormatting sqref="G19">
    <cfRule type="expression" dxfId="44" priority="21">
      <formula>IF(SUM(G20:G27)&gt;1,1,0)</formula>
    </cfRule>
  </conditionalFormatting>
  <conditionalFormatting sqref="H19">
    <cfRule type="expression" dxfId="43" priority="20">
      <formula>IF(SUM(H20:H27)&gt;1,1,0)</formula>
    </cfRule>
  </conditionalFormatting>
  <conditionalFormatting sqref="F19">
    <cfRule type="expression" dxfId="42" priority="19">
      <formula>IF(SUM(F20:F27)&gt;1,1,0)</formula>
    </cfRule>
  </conditionalFormatting>
  <conditionalFormatting sqref="I5">
    <cfRule type="expression" dxfId="41" priority="18">
      <formula>-IF(SUM(I6:I17)&gt;1,1,0)</formula>
    </cfRule>
  </conditionalFormatting>
  <conditionalFormatting sqref="H5">
    <cfRule type="expression" dxfId="40" priority="17">
      <formula>-IF(SUM(H6:H17)&gt;1,1,0)</formula>
    </cfRule>
  </conditionalFormatting>
  <conditionalFormatting sqref="F29">
    <cfRule type="expression" dxfId="39" priority="16">
      <formula>IF(SUM($F$30:$F$33)&gt;1,1,0)</formula>
    </cfRule>
  </conditionalFormatting>
  <conditionalFormatting sqref="F50">
    <cfRule type="expression" dxfId="38" priority="15">
      <formula>IF(SUM($F$51:$F$56)&gt;1,1,0)</formula>
    </cfRule>
  </conditionalFormatting>
  <conditionalFormatting sqref="H50">
    <cfRule type="expression" dxfId="37" priority="14">
      <formula>IF(SUM($H$51:$H$56)&gt;3,1,0)</formula>
    </cfRule>
  </conditionalFormatting>
  <conditionalFormatting sqref="G50">
    <cfRule type="expression" dxfId="36" priority="13">
      <formula>IF(SUM($G$51:$G$56)&gt;2,1,0)</formula>
    </cfRule>
  </conditionalFormatting>
  <conditionalFormatting sqref="C30:C33 C20:C27 C6:C17">
    <cfRule type="expression" dxfId="35" priority="11">
      <formula>IF($AZ6&lt;4.5,1,0)</formula>
    </cfRule>
    <cfRule type="expression" dxfId="34" priority="12">
      <formula>IF($AZ6&gt;7,1,0)</formula>
    </cfRule>
  </conditionalFormatting>
  <conditionalFormatting sqref="C21">
    <cfRule type="expression" dxfId="33" priority="9">
      <formula>IF($AK21&lt;4.5,1,0)</formula>
    </cfRule>
    <cfRule type="expression" dxfId="32" priority="10">
      <formula>IF($AK21&gt;7,1,0)</formula>
    </cfRule>
  </conditionalFormatting>
  <conditionalFormatting sqref="F5">
    <cfRule type="expression" dxfId="31" priority="8">
      <formula>IF(SUM(F6:F17)&gt;1,1,0)</formula>
    </cfRule>
  </conditionalFormatting>
  <conditionalFormatting sqref="G5">
    <cfRule type="expression" dxfId="30" priority="7">
      <formula>IF(SUM(G6:G17)&gt;1,1,0)</formula>
    </cfRule>
  </conditionalFormatting>
  <conditionalFormatting sqref="C51:C56 C59:C60 C63:C72">
    <cfRule type="expression" dxfId="29" priority="3">
      <formula>IF($AC51&lt;$D$2,1,0)</formula>
    </cfRule>
    <cfRule type="expression" dxfId="28" priority="4">
      <formula>IF($AC51&gt;$C$3,1,0)</formula>
    </cfRule>
    <cfRule type="expression" dxfId="27" priority="5">
      <formula>IF($AG51&lt;5.75,1,0)</formula>
    </cfRule>
    <cfRule type="expression" dxfId="26" priority="6">
      <formula>IF($AG51&gt;6,1,0)</formula>
    </cfRule>
  </conditionalFormatting>
  <conditionalFormatting sqref="C6:C17 C20:C27 C30:C33">
    <cfRule type="expression" dxfId="25" priority="1">
      <formula>IF($AK6&lt;$D$2,1,0)</formula>
    </cfRule>
    <cfRule type="expression" dxfId="24" priority="2">
      <formula>IF($AK6&gt;$C$2,1,0)</formula>
    </cfRule>
  </conditionalFormatting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published="0" codeName="Sheet10">
    <tabColor theme="5" tint="-0.249977111117893"/>
  </sheetPr>
  <dimension ref="A1:AZ72"/>
  <sheetViews>
    <sheetView zoomScale="85" zoomScaleNormal="85" workbookViewId="0">
      <pane ySplit="3" topLeftCell="A47" activePane="bottomLeft" state="frozenSplit"/>
      <selection pane="bottomLeft" activeCell="C52" sqref="C52"/>
    </sheetView>
  </sheetViews>
  <sheetFormatPr defaultRowHeight="15"/>
  <cols>
    <col min="1" max="1" width="3.140625" customWidth="1"/>
    <col min="2" max="2" width="10.7109375" style="1" bestFit="1" customWidth="1"/>
    <col min="3" max="3" width="20" style="26" bestFit="1" customWidth="1"/>
    <col min="4" max="4" width="4.5703125" style="26" customWidth="1"/>
    <col min="5" max="5" width="4.42578125" style="26" customWidth="1"/>
    <col min="6" max="6" width="4.42578125" bestFit="1" customWidth="1"/>
    <col min="7" max="7" width="3.7109375" bestFit="1" customWidth="1"/>
    <col min="8" max="8" width="4.7109375" bestFit="1" customWidth="1"/>
    <col min="9" max="9" width="4.28515625" customWidth="1"/>
    <col min="10" max="12" width="3.7109375" customWidth="1"/>
    <col min="13" max="16" width="3.7109375" bestFit="1" customWidth="1"/>
    <col min="17" max="17" width="4.28515625" bestFit="1" customWidth="1"/>
    <col min="18" max="18" width="4.7109375" bestFit="1" customWidth="1"/>
    <col min="19" max="21" width="3.7109375" bestFit="1" customWidth="1"/>
    <col min="22" max="22" width="4.28515625" bestFit="1" customWidth="1"/>
    <col min="23" max="23" width="4.7109375" bestFit="1" customWidth="1"/>
    <col min="24" max="24" width="4.28515625" customWidth="1"/>
    <col min="25" max="25" width="4.28515625" bestFit="1" customWidth="1"/>
    <col min="26" max="26" width="11.42578125" bestFit="1" customWidth="1"/>
    <col min="27" max="27" width="4.28515625" bestFit="1" customWidth="1"/>
    <col min="28" max="29" width="4.7109375" bestFit="1" customWidth="1"/>
    <col min="30" max="32" width="4.28515625" bestFit="1" customWidth="1"/>
    <col min="33" max="33" width="6.28515625" customWidth="1"/>
    <col min="34" max="36" width="3.7109375" bestFit="1" customWidth="1"/>
    <col min="37" max="37" width="4.5703125" bestFit="1" customWidth="1"/>
    <col min="38" max="51" width="3.7109375" bestFit="1" customWidth="1"/>
    <col min="52" max="52" width="4.5703125" bestFit="1" customWidth="1"/>
  </cols>
  <sheetData>
    <row r="1" spans="1:52">
      <c r="C1" s="290" t="s">
        <v>538</v>
      </c>
      <c r="D1" s="290" t="s">
        <v>539</v>
      </c>
    </row>
    <row r="2" spans="1:52">
      <c r="B2" s="290" t="s">
        <v>540</v>
      </c>
      <c r="C2" s="291">
        <v>3.5</v>
      </c>
      <c r="D2" s="291">
        <v>1</v>
      </c>
    </row>
    <row r="3" spans="1:52">
      <c r="B3" s="290" t="s">
        <v>541</v>
      </c>
      <c r="C3" s="291">
        <v>4.25</v>
      </c>
      <c r="D3" s="291">
        <v>1</v>
      </c>
    </row>
    <row r="4" spans="1:52">
      <c r="D4" s="26">
        <v>4</v>
      </c>
      <c r="E4" s="26">
        <v>5</v>
      </c>
      <c r="J4">
        <v>23</v>
      </c>
      <c r="K4">
        <v>21</v>
      </c>
      <c r="L4">
        <v>22</v>
      </c>
      <c r="M4">
        <v>24</v>
      </c>
      <c r="N4">
        <v>25</v>
      </c>
      <c r="O4">
        <v>26</v>
      </c>
      <c r="P4">
        <v>27</v>
      </c>
      <c r="Q4">
        <v>28</v>
      </c>
      <c r="R4">
        <v>29</v>
      </c>
      <c r="S4">
        <v>30</v>
      </c>
      <c r="T4">
        <v>31</v>
      </c>
      <c r="AD4">
        <v>11</v>
      </c>
      <c r="AE4">
        <v>12</v>
      </c>
      <c r="AF4">
        <v>13</v>
      </c>
      <c r="AG4">
        <v>14</v>
      </c>
      <c r="AH4">
        <v>15</v>
      </c>
      <c r="AI4">
        <v>32</v>
      </c>
      <c r="AJ4">
        <v>33</v>
      </c>
      <c r="AU4">
        <v>16</v>
      </c>
      <c r="AV4">
        <v>17</v>
      </c>
      <c r="AW4">
        <v>18</v>
      </c>
      <c r="AX4">
        <v>19</v>
      </c>
      <c r="AY4">
        <v>20</v>
      </c>
    </row>
    <row r="5" spans="1:52" s="24" customFormat="1" ht="215.25">
      <c r="A5" s="25" t="s">
        <v>193</v>
      </c>
      <c r="B5" s="234" t="s">
        <v>124</v>
      </c>
      <c r="C5" s="44" t="str">
        <f>"Player ("&amp;COUNTA(C6:C17)&amp;")"</f>
        <v>Player (1)</v>
      </c>
      <c r="D5" s="44" t="s">
        <v>91</v>
      </c>
      <c r="E5" s="44" t="s">
        <v>101</v>
      </c>
      <c r="F5" s="51" t="e">
        <f>"Only 1 guy who plays only 1B ("&amp;SUM(F6:F17)&amp;")"</f>
        <v>#N/A</v>
      </c>
      <c r="G5" s="45" t="e">
        <f>"Only 1 guy who can only play 1B or LF ("&amp;SUM(G6:G17)&amp;")"</f>
        <v>#N/A</v>
      </c>
      <c r="H5" s="46" t="e">
        <f>"2 guys with RF arms ("&amp;SUM(H6:H17)&amp;")"</f>
        <v>#N/A</v>
      </c>
      <c r="I5" s="46" t="e">
        <f>"2 guys with CF range ("&amp;SUM(I6:I17)&amp;")"</f>
        <v>#N/A</v>
      </c>
      <c r="J5" s="55" t="s">
        <v>136</v>
      </c>
      <c r="K5" s="47" t="s">
        <v>134</v>
      </c>
      <c r="L5" s="56" t="s">
        <v>135</v>
      </c>
      <c r="M5" s="48" t="s">
        <v>92</v>
      </c>
      <c r="N5" s="48" t="s">
        <v>94</v>
      </c>
      <c r="O5" s="48" t="s">
        <v>95</v>
      </c>
      <c r="P5" s="48" t="s">
        <v>96</v>
      </c>
      <c r="Q5" s="48" t="s">
        <v>97</v>
      </c>
      <c r="R5" s="48" t="s">
        <v>98</v>
      </c>
      <c r="S5" s="48" t="s">
        <v>99</v>
      </c>
      <c r="T5" s="49" t="s">
        <v>100</v>
      </c>
      <c r="U5" s="51" t="s">
        <v>137</v>
      </c>
      <c r="V5" s="45" t="s">
        <v>181</v>
      </c>
      <c r="W5" s="45" t="s">
        <v>138</v>
      </c>
      <c r="X5" s="45" t="s">
        <v>154</v>
      </c>
      <c r="Y5" s="45" t="s">
        <v>153</v>
      </c>
      <c r="Z5" s="45" t="s">
        <v>141</v>
      </c>
      <c r="AA5" s="45" t="s">
        <v>142</v>
      </c>
      <c r="AB5" s="45" t="s">
        <v>159</v>
      </c>
      <c r="AC5" s="60" t="s">
        <v>143</v>
      </c>
      <c r="AD5" s="48" t="s">
        <v>147</v>
      </c>
      <c r="AE5" s="48" t="s">
        <v>148</v>
      </c>
      <c r="AF5" s="48" t="s">
        <v>149</v>
      </c>
      <c r="AG5" s="48" t="s">
        <v>150</v>
      </c>
      <c r="AH5" s="48" t="s">
        <v>29</v>
      </c>
      <c r="AI5" s="63" t="s">
        <v>151</v>
      </c>
      <c r="AJ5" s="49" t="s">
        <v>152</v>
      </c>
      <c r="AK5" s="66" t="s">
        <v>157</v>
      </c>
      <c r="AL5" s="51" t="s">
        <v>137</v>
      </c>
      <c r="AM5" s="45" t="s">
        <v>181</v>
      </c>
      <c r="AN5" s="45" t="s">
        <v>138</v>
      </c>
      <c r="AO5" s="45" t="s">
        <v>154</v>
      </c>
      <c r="AP5" s="45" t="s">
        <v>153</v>
      </c>
      <c r="AQ5" s="45" t="s">
        <v>141</v>
      </c>
      <c r="AR5" s="45" t="s">
        <v>142</v>
      </c>
      <c r="AS5" s="45" t="s">
        <v>159</v>
      </c>
      <c r="AT5" s="60" t="s">
        <v>143</v>
      </c>
      <c r="AU5" s="63" t="s">
        <v>147</v>
      </c>
      <c r="AV5" s="48" t="s">
        <v>148</v>
      </c>
      <c r="AW5" s="48" t="s">
        <v>149</v>
      </c>
      <c r="AX5" s="48" t="s">
        <v>150</v>
      </c>
      <c r="AY5" s="49" t="s">
        <v>29</v>
      </c>
      <c r="AZ5" s="66" t="s">
        <v>197</v>
      </c>
    </row>
    <row r="6" spans="1:52">
      <c r="A6">
        <v>1</v>
      </c>
      <c r="B6" s="32" t="s">
        <v>94</v>
      </c>
      <c r="C6" s="37"/>
      <c r="D6" s="33" t="str">
        <f>IF($C6="","",VLOOKUP($C6,CTBat!$G$10:$BR$203,D$4,FALSE))</f>
        <v/>
      </c>
      <c r="E6" s="33" t="str">
        <f>IF($C6="","",VLOOKUP($C6,CTBat!$G$10:$BR$203,E$4,FALSE))</f>
        <v/>
      </c>
      <c r="F6" s="52" t="str">
        <f>IF($C6="","",IF(AND(N6&gt;0,N6=SUM(M6:T6)),1,0))</f>
        <v/>
      </c>
      <c r="G6" s="34" t="str">
        <f>IF($C6="","",IF(AND(OR(N6&gt;0,R6&gt;0),SUM(N6,R6)=SUM(M6:T6)),1,0))</f>
        <v/>
      </c>
      <c r="H6" s="34" t="str">
        <f>IF($C6="","",IF(L6&gt;6,1,0))</f>
        <v/>
      </c>
      <c r="I6" s="34" t="str">
        <f t="shared" ref="I6:I10" si="0">IF($C6="","",IF(AND(S6&gt;4,S6&lt;&gt;"-"),1,0))</f>
        <v/>
      </c>
      <c r="J6" s="57" t="str">
        <f>IF($C6="","",VLOOKUP($C6,CTBat!$G$10:$BR$203,J$4,FALSE))</f>
        <v/>
      </c>
      <c r="K6" s="33" t="str">
        <f>IF($C6="","",VLOOKUP($C6,CTBat!$G$10:$BR$203,K$4,FALSE))</f>
        <v/>
      </c>
      <c r="L6" s="35" t="str">
        <f>IF($C6="","",VLOOKUP($C6,CTBat!$G$10:$BR$203,L$4,FALSE))</f>
        <v/>
      </c>
      <c r="M6" s="33" t="str">
        <f>IF($C6="","",VLOOKUP($C6,CTBat!$G$10:$BR$203,M$4,FALSE))</f>
        <v/>
      </c>
      <c r="N6" s="33" t="str">
        <f>IF($C6="","",VLOOKUP($C6,CTBat!$G$10:$BR$203,N$4,FALSE))</f>
        <v/>
      </c>
      <c r="O6" s="33" t="str">
        <f>IF($C6="","",VLOOKUP($C6,CTBat!$G$10:$BR$203,O$4,FALSE))</f>
        <v/>
      </c>
      <c r="P6" s="33" t="str">
        <f>IF($C6="","",VLOOKUP($C6,CTBat!$G$10:$BR$203,P$4,FALSE))</f>
        <v/>
      </c>
      <c r="Q6" s="33" t="str">
        <f>IF($C6="","",VLOOKUP($C6,CTBat!$G$10:$BR$203,Q$4,FALSE))</f>
        <v/>
      </c>
      <c r="R6" s="33" t="str">
        <f>IF($C6="","",VLOOKUP($C6,CTBat!$G$10:$BR$203,R$4,FALSE))</f>
        <v/>
      </c>
      <c r="S6" s="33" t="str">
        <f>IF($C6="","",VLOOKUP($C6,CTBat!$G$10:$BR$203,S$4,FALSE))</f>
        <v/>
      </c>
      <c r="T6" s="35" t="str">
        <f>IF($C6="","",VLOOKUP($C6,CTBat!$G$10:$BR$203,T$4,FALSE))</f>
        <v/>
      </c>
      <c r="U6" s="53" t="str">
        <f t="shared" ref="U6:U17" si="1">IF($C6="","",IF(OR(AD6+AG6&gt;14,AND(OR(AD6+AG6&gt;12,AND(AD6&gt;6,AG6&gt;6)),AI6&gt;6,OR(AJ6&gt;=AI6,AJ6&gt;6))),1,0))</f>
        <v/>
      </c>
      <c r="V6" s="239" t="str">
        <f t="shared" ref="V6:V17" si="2">IF($C6="","",IF(OR(AND(AD6&gt;6,AH6&gt;6),AD6+AG6&gt;12),1,0))</f>
        <v/>
      </c>
      <c r="W6" s="34" t="str">
        <f>IF($C6="","",IF(AND(AD6&gt;6,AF6&gt;6,AG6&gt;6),1,0))</f>
        <v/>
      </c>
      <c r="X6" s="34" t="str">
        <f>IF($C6="","",IF(AND(AF6&gt;7,OR(AD6&gt;6,AG6&gt;6)),1,0))</f>
        <v/>
      </c>
      <c r="Y6" s="34" t="str">
        <f>IF($C6="","",IF(AND(AF6&gt;6,OR(AD6&gt;6,AG6&gt;6)),1,0))</f>
        <v/>
      </c>
      <c r="Z6" s="34" t="str">
        <f>IF($C6="","",IF(AND(OR(AD6&gt;6,AF6&gt;6),OR(AD6&gt;6,AG6&gt;6)),1,0))</f>
        <v/>
      </c>
      <c r="AA6" s="34" t="str">
        <f>IF($C6="","",IF(AND(AD6&gt;4,OR(AD6&gt;6,AF6&gt;6,AG6&gt;6)),1,0))</f>
        <v/>
      </c>
      <c r="AB6" s="34" t="str">
        <f>IF($C6="","",IF(AND(AD6&gt;4,OR(AD6&gt;6,AE6&gt;6,AF6&gt;6,AG6&gt;6)),1,0))</f>
        <v/>
      </c>
      <c r="AC6" s="61" t="str">
        <f>IF($C6="","",IF(AND(AD6&gt;4,MAX(AD6:AH6)&gt;6),1,0))</f>
        <v/>
      </c>
      <c r="AD6" s="33" t="str">
        <f>IF($C6="","",VLOOKUP($C6,CTBat!$G$10:$BR$203,AD$4,FALSE))</f>
        <v/>
      </c>
      <c r="AE6" s="33" t="str">
        <f>IF($C6="","",VLOOKUP($C6,CTBat!$G$10:$BR$203,AE$4,FALSE))</f>
        <v/>
      </c>
      <c r="AF6" s="33" t="str">
        <f>IF($C6="","",VLOOKUP($C6,CTBat!$G$10:$BR$203,AF$4,FALSE))</f>
        <v/>
      </c>
      <c r="AG6" s="33" t="str">
        <f>IF($C6="","",VLOOKUP($C6,CTBat!$G$10:$BR$203,AG$4,FALSE))</f>
        <v/>
      </c>
      <c r="AH6" s="33" t="str">
        <f>IF($C6="","",VLOOKUP($C6,CTBat!$G$10:$BR$203,AH$4,FALSE))</f>
        <v/>
      </c>
      <c r="AI6" s="57" t="str">
        <f>IF($C6="","",VLOOKUP($C6,CTBat!$G$10:$BR$203,AI$4,FALSE))</f>
        <v/>
      </c>
      <c r="AJ6" s="35" t="str">
        <f>IF($C6="","",VLOOKUP($C6,CTBat!$G$10:$BR$203,AJ$4,FALSE))</f>
        <v/>
      </c>
      <c r="AK6" s="67" t="str">
        <f>IF($C6="","",(5*AD6+4*AF6+3*AG6+2*AE6+1*AH6+0.5*(AVERAGE(AD6:AE6))+0.5*AVERAGE(AD6,AH6)+1*(AVERAGE(AD6,AF6))+1*AVERAGE(AD6,AG6))/(5+4+3+2+1+0.5+0.5+1+1))</f>
        <v/>
      </c>
      <c r="AL6" s="52" t="str">
        <f>IF($C6="","",IF(AND(OR(AU6+AX6&gt;12,AND(AU6&gt;6,AX6&gt;6)),AI6&gt;6,OR(AJ6&gt;=AI6,AJ6&gt;6)),1,0))</f>
        <v/>
      </c>
      <c r="AM6" s="34" t="str">
        <f>IF($C6="","",IF(OR(AND(AU6&gt;6,AY6&gt;6),AU6+AX6&gt;12),1,0))</f>
        <v/>
      </c>
      <c r="AN6" s="34" t="str">
        <f>IF($C6="","",IF(AND(AU6&gt;6,AW6&gt;6,AX6&gt;6),1,0))</f>
        <v/>
      </c>
      <c r="AO6" s="34" t="str">
        <f>IF($C6="","",IF(AND(AW6&gt;7,OR(AU6&gt;6,AX6&gt;6)),1,0))</f>
        <v/>
      </c>
      <c r="AP6" s="34" t="str">
        <f>IF($C6="","",IF(AND(AW6&gt;6,OR(AU6&gt;6,AX6&gt;6)),1,0))</f>
        <v/>
      </c>
      <c r="AQ6" s="34" t="str">
        <f>IF($C6="","",IF(AND(OR(AU6&gt;6,AW6&gt;6),OR(AU6&gt;6,AX6&gt;6)),1,0))</f>
        <v/>
      </c>
      <c r="AR6" s="34" t="str">
        <f>IF($C6="","",IF(AND(AU6&gt;4,OR(AU6&gt;6,AW6&gt;6,AX6&gt;6)),1,0))</f>
        <v/>
      </c>
      <c r="AS6" s="34" t="str">
        <f>IF($C6="","",IF(AND(AU6&gt;4,OR(AU6&gt;6,AV6&gt;6,AW6&gt;6,AX6&gt;6)),1,0))</f>
        <v/>
      </c>
      <c r="AT6" s="61" t="str">
        <f>IF($C6="","",IF(AND(AU6&gt;4,MAX(AU6:AY6)&gt;6),1,0))</f>
        <v/>
      </c>
      <c r="AU6" s="57" t="str">
        <f>IF($C6="","",VLOOKUP($C6,CTBat!$G$10:$BR$203,AU$4,FALSE))</f>
        <v/>
      </c>
      <c r="AV6" s="33" t="str">
        <f>IF($C6="","",VLOOKUP($C6,CTBat!$G$10:$BR$203,AV$4,FALSE))</f>
        <v/>
      </c>
      <c r="AW6" s="33" t="str">
        <f>IF($C6="","",VLOOKUP($C6,CTBat!$G$10:$BR$203,AW$4,FALSE))</f>
        <v/>
      </c>
      <c r="AX6" s="33" t="str">
        <f>IF($C6="","",VLOOKUP($C6,CTBat!$G$10:$BR$203,AX$4,FALSE))</f>
        <v/>
      </c>
      <c r="AY6" s="35" t="str">
        <f>IF($C6="","",VLOOKUP($C6,CTBat!$G$10:$BR$203,AY$4,FALSE))</f>
        <v/>
      </c>
      <c r="AZ6" s="67" t="str">
        <f>IF($C6="","",(5*AU6+4*AW6+3*AX6+2*AV6+1*AY6+0.5*(AVERAGE(AU6:AV6))+0.5*AVERAGE(AU6,AY6)+1*(AVERAGE(AU6,AW6))+1*AVERAGE(AU6,AX6))/(5+4+3+2+1+0.5+0.5+1+1))</f>
        <v/>
      </c>
    </row>
    <row r="7" spans="1:52">
      <c r="A7">
        <v>2</v>
      </c>
      <c r="B7" s="36" t="s">
        <v>98</v>
      </c>
      <c r="C7" s="37" t="s">
        <v>464</v>
      </c>
      <c r="D7" s="37" t="e">
        <f>IF($C7="","",VLOOKUP($C7,CTBat!$G$10:$BR$203,D$4,FALSE))</f>
        <v>#N/A</v>
      </c>
      <c r="E7" s="37" t="e">
        <f>IF($C7="","",VLOOKUP($C7,CTBat!$G$10:$BR$203,E$4,FALSE))</f>
        <v>#N/A</v>
      </c>
      <c r="F7" s="53" t="e">
        <f t="shared" ref="F7:F17" si="3">IF($C7="","",IF(AND(N7&gt;0,N7=SUM(M7:T7)),1,0))</f>
        <v>#N/A</v>
      </c>
      <c r="G7" s="239" t="e">
        <f t="shared" ref="G7:G17" si="4">IF($C7="","",IF(AND(OR(N7&gt;0,R7&gt;0),SUM(N7,R7)=SUM(M7:T7)),1,0))</f>
        <v>#N/A</v>
      </c>
      <c r="H7" s="239" t="e">
        <f t="shared" ref="H7:H17" si="5">IF($C7="","",IF(L7&gt;6,1,0))</f>
        <v>#N/A</v>
      </c>
      <c r="I7" s="239" t="e">
        <f t="shared" si="0"/>
        <v>#N/A</v>
      </c>
      <c r="J7" s="58" t="e">
        <f>IF($C7="","",VLOOKUP($C7,CTBat!$G$10:$BR$203,J$4,FALSE))</f>
        <v>#N/A</v>
      </c>
      <c r="K7" s="37" t="e">
        <f>IF($C7="","",VLOOKUP($C7,CTBat!$G$10:$BR$203,K$4,FALSE))</f>
        <v>#N/A</v>
      </c>
      <c r="L7" s="38" t="e">
        <f>IF($C7="","",VLOOKUP($C7,CTBat!$G$10:$BR$203,L$4,FALSE))</f>
        <v>#N/A</v>
      </c>
      <c r="M7" s="37" t="e">
        <f>IF($C7="","",VLOOKUP($C7,CTBat!$G$10:$BR$203,M$4,FALSE))</f>
        <v>#N/A</v>
      </c>
      <c r="N7" s="37" t="e">
        <f>IF($C7="","",VLOOKUP($C7,CTBat!$G$10:$BR$203,N$4,FALSE))</f>
        <v>#N/A</v>
      </c>
      <c r="O7" s="37" t="e">
        <f>IF($C7="","",VLOOKUP($C7,CTBat!$G$10:$BR$203,O$4,FALSE))</f>
        <v>#N/A</v>
      </c>
      <c r="P7" s="37" t="e">
        <f>IF($C7="","",VLOOKUP($C7,CTBat!$G$10:$BR$203,P$4,FALSE))</f>
        <v>#N/A</v>
      </c>
      <c r="Q7" s="37" t="e">
        <f>IF($C7="","",VLOOKUP($C7,CTBat!$G$10:$BR$203,Q$4,FALSE))</f>
        <v>#N/A</v>
      </c>
      <c r="R7" s="37" t="e">
        <f>IF($C7="","",VLOOKUP($C7,CTBat!$G$10:$BR$203,R$4,FALSE))</f>
        <v>#N/A</v>
      </c>
      <c r="S7" s="37" t="e">
        <f>IF($C7="","",VLOOKUP($C7,CTBat!$G$10:$BR$203,S$4,FALSE))</f>
        <v>#N/A</v>
      </c>
      <c r="T7" s="38" t="e">
        <f>IF($C7="","",VLOOKUP($C7,CTBat!$G$10:$BR$203,T$4,FALSE))</f>
        <v>#N/A</v>
      </c>
      <c r="U7" s="53" t="e">
        <f t="shared" si="1"/>
        <v>#N/A</v>
      </c>
      <c r="V7" s="239" t="e">
        <f t="shared" si="2"/>
        <v>#N/A</v>
      </c>
      <c r="W7" s="239" t="e">
        <f t="shared" ref="W7:W17" si="6">IF($C7="","",IF(AND(AD7&gt;6,AF7&gt;6,AG7&gt;6),1,0))</f>
        <v>#N/A</v>
      </c>
      <c r="X7" s="239" t="e">
        <f t="shared" ref="X7:X17" si="7">IF($C7="","",IF(AND(AF7&gt;7,OR(AD7&gt;6,AG7&gt;6)),1,0))</f>
        <v>#N/A</v>
      </c>
      <c r="Y7" s="239" t="e">
        <f t="shared" ref="Y7:Y17" si="8">IF($C7="","",IF(AND(AF7&gt;6,OR(AD7&gt;6,AG7&gt;6)),1,0))</f>
        <v>#N/A</v>
      </c>
      <c r="Z7" s="239" t="e">
        <f t="shared" ref="Z7:Z17" si="9">IF($C7="","",IF(AND(OR(AD7&gt;6,AF7&gt;6),OR(AD7&gt;6,AG7&gt;6)),1,0))</f>
        <v>#N/A</v>
      </c>
      <c r="AA7" s="239" t="e">
        <f t="shared" ref="AA7:AA17" si="10">IF($C7="","",IF(AND(AD7&gt;4,OR(AD7&gt;6,AF7&gt;6,AG7&gt;6)),1,0))</f>
        <v>#N/A</v>
      </c>
      <c r="AB7" s="239" t="e">
        <f t="shared" ref="AB7:AB17" si="11">IF($C7="","",IF(AND(AD7&gt;4,OR(AD7&gt;6,AE7&gt;6,AF7&gt;6,AG7&gt;6)),1,0))</f>
        <v>#N/A</v>
      </c>
      <c r="AC7" s="240" t="e">
        <f t="shared" ref="AC7:AC17" si="12">IF($C7="","",IF(AND(AD7&gt;4,MAX(AD7:AH7)&gt;6),1,0))</f>
        <v>#N/A</v>
      </c>
      <c r="AD7" s="37" t="e">
        <f>IF($C7="","",VLOOKUP($C7,CTBat!$G$10:$BR$203,AD$4,FALSE))</f>
        <v>#N/A</v>
      </c>
      <c r="AE7" s="37" t="e">
        <f>IF($C7="","",VLOOKUP($C7,CTBat!$G$10:$BR$203,AE$4,FALSE))</f>
        <v>#N/A</v>
      </c>
      <c r="AF7" s="37" t="e">
        <f>IF($C7="","",VLOOKUP($C7,CTBat!$G$10:$BR$203,AF$4,FALSE))</f>
        <v>#N/A</v>
      </c>
      <c r="AG7" s="37" t="e">
        <f>IF($C7="","",VLOOKUP($C7,CTBat!$G$10:$BR$203,AG$4,FALSE))</f>
        <v>#N/A</v>
      </c>
      <c r="AH7" s="37" t="e">
        <f>IF($C7="","",VLOOKUP($C7,CTBat!$G$10:$BR$203,AH$4,FALSE))</f>
        <v>#N/A</v>
      </c>
      <c r="AI7" s="58" t="e">
        <f>IF($C7="","",VLOOKUP($C7,CTBat!$G$10:$BR$203,AI$4,FALSE))</f>
        <v>#N/A</v>
      </c>
      <c r="AJ7" s="38" t="e">
        <f>IF($C7="","",VLOOKUP($C7,CTBat!$G$10:$BR$203,AJ$4,FALSE))</f>
        <v>#N/A</v>
      </c>
      <c r="AK7" s="67" t="e">
        <f t="shared" ref="AK7:AK17" si="13">IF($C7="","",(5*AD7+4*AF7+3*AG7+2*AE7+1*AH7+0.5*(AVERAGE(AD7:AE7))+0.5*AVERAGE(AD7,AH7)+1*(AVERAGE(AD7,AF7))+1*AVERAGE(AD7,AG7))/(5+4+3+2+1+0.5+0.5+1+1))</f>
        <v>#N/A</v>
      </c>
      <c r="AL7" s="53" t="e">
        <f t="shared" ref="AL7:AL17" si="14">IF($C7="","",IF(AND(OR(AU7+AX7&gt;12,AND(AU7&gt;6,AX7&gt;6)),AI7&gt;6,OR(AJ7&gt;=AI7,AJ7&gt;6)),1,0))</f>
        <v>#N/A</v>
      </c>
      <c r="AM7" s="239" t="e">
        <f t="shared" ref="AM7:AM17" si="15">IF($C7="","",IF(OR(AND(AU7&gt;6,AY7&gt;6),AU7+AX7&gt;12),1,0))</f>
        <v>#N/A</v>
      </c>
      <c r="AN7" s="239" t="e">
        <f t="shared" ref="AN7:AN17" si="16">IF($C7="","",IF(AND(AU7&gt;6,AW7&gt;6,AX7&gt;6),1,0))</f>
        <v>#N/A</v>
      </c>
      <c r="AO7" s="239" t="e">
        <f t="shared" ref="AO7:AO17" si="17">IF($C7="","",IF(AND(AW7&gt;7,OR(AU7&gt;6,AX7&gt;6)),1,0))</f>
        <v>#N/A</v>
      </c>
      <c r="AP7" s="239" t="e">
        <f t="shared" ref="AP7:AP17" si="18">IF($C7="","",IF(AND(AW7&gt;6,OR(AU7&gt;6,AX7&gt;6)),1,0))</f>
        <v>#N/A</v>
      </c>
      <c r="AQ7" s="239" t="e">
        <f t="shared" ref="AQ7:AQ17" si="19">IF($C7="","",IF(AND(OR(AU7&gt;6,AW7&gt;6),OR(AU7&gt;6,AX7&gt;6)),1,0))</f>
        <v>#N/A</v>
      </c>
      <c r="AR7" s="239" t="e">
        <f t="shared" ref="AR7:AR17" si="20">IF($C7="","",IF(AND(AU7&gt;4,OR(AU7&gt;6,AW7&gt;6,AX7&gt;6)),1,0))</f>
        <v>#N/A</v>
      </c>
      <c r="AS7" s="239" t="e">
        <f t="shared" ref="AS7:AS17" si="21">IF($C7="","",IF(AND(AU7&gt;4,OR(AU7&gt;6,AV7&gt;6,AW7&gt;6,AX7&gt;6)),1,0))</f>
        <v>#N/A</v>
      </c>
      <c r="AT7" s="240" t="e">
        <f t="shared" ref="AT7:AT17" si="22">IF($C7="","",IF(AND(AU7&gt;4,MAX(AU7:AY7)&gt;6),1,0))</f>
        <v>#N/A</v>
      </c>
      <c r="AU7" s="58" t="e">
        <f>IF($C7="","",VLOOKUP($C7,CTBat!$G$10:$BR$203,AU$4,FALSE))</f>
        <v>#N/A</v>
      </c>
      <c r="AV7" s="37" t="e">
        <f>IF($C7="","",VLOOKUP($C7,CTBat!$G$10:$BR$203,AV$4,FALSE))</f>
        <v>#N/A</v>
      </c>
      <c r="AW7" s="37" t="e">
        <f>IF($C7="","",VLOOKUP($C7,CTBat!$G$10:$BR$203,AW$4,FALSE))</f>
        <v>#N/A</v>
      </c>
      <c r="AX7" s="37" t="e">
        <f>IF($C7="","",VLOOKUP($C7,CTBat!$G$10:$BR$203,AX$4,FALSE))</f>
        <v>#N/A</v>
      </c>
      <c r="AY7" s="38" t="e">
        <f>IF($C7="","",VLOOKUP($C7,CTBat!$G$10:$BR$203,AY$4,FALSE))</f>
        <v>#N/A</v>
      </c>
      <c r="AZ7" s="67" t="e">
        <f t="shared" ref="AZ7:AZ17" si="23">IF($C7="","",(5*AU7+4*AW7+3*AX7+2*AV7+1*AY7+0.5*(AVERAGE(AU7:AV7))+0.5*AVERAGE(AU7,AY7)+1*(AVERAGE(AU7,AW7))+1*AVERAGE(AU7,AX7))/(5+4+3+2+1+0.5+0.5+1+1))</f>
        <v>#N/A</v>
      </c>
    </row>
    <row r="8" spans="1:52">
      <c r="A8">
        <v>3</v>
      </c>
      <c r="B8" s="36" t="s">
        <v>99</v>
      </c>
      <c r="C8" s="37"/>
      <c r="D8" s="37" t="str">
        <f>IF($C8="","",VLOOKUP($C8,CTBat!$G$10:$BR$203,D$4,FALSE))</f>
        <v/>
      </c>
      <c r="E8" s="37" t="str">
        <f>IF($C8="","",VLOOKUP($C8,CTBat!$G$10:$BR$203,E$4,FALSE))</f>
        <v/>
      </c>
      <c r="F8" s="53" t="str">
        <f t="shared" si="3"/>
        <v/>
      </c>
      <c r="G8" s="239" t="str">
        <f t="shared" si="4"/>
        <v/>
      </c>
      <c r="H8" s="239" t="str">
        <f t="shared" si="5"/>
        <v/>
      </c>
      <c r="I8" s="239" t="str">
        <f t="shared" si="0"/>
        <v/>
      </c>
      <c r="J8" s="58" t="str">
        <f>IF($C8="","",VLOOKUP($C8,CTBat!$G$10:$BR$203,J$4,FALSE))</f>
        <v/>
      </c>
      <c r="K8" s="37" t="str">
        <f>IF($C8="","",VLOOKUP($C8,CTBat!$G$10:$BR$203,K$4,FALSE))</f>
        <v/>
      </c>
      <c r="L8" s="38" t="str">
        <f>IF($C8="","",VLOOKUP($C8,CTBat!$G$10:$BR$203,L$4,FALSE))</f>
        <v/>
      </c>
      <c r="M8" s="37" t="str">
        <f>IF($C8="","",VLOOKUP($C8,CTBat!$G$10:$BR$203,M$4,FALSE))</f>
        <v/>
      </c>
      <c r="N8" s="37" t="str">
        <f>IF($C8="","",VLOOKUP($C8,CTBat!$G$10:$BR$203,N$4,FALSE))</f>
        <v/>
      </c>
      <c r="O8" s="37" t="str">
        <f>IF($C8="","",VLOOKUP($C8,CTBat!$G$10:$BR$203,O$4,FALSE))</f>
        <v/>
      </c>
      <c r="P8" s="37" t="str">
        <f>IF($C8="","",VLOOKUP($C8,CTBat!$G$10:$BR$203,P$4,FALSE))</f>
        <v/>
      </c>
      <c r="Q8" s="37" t="str">
        <f>IF($C8="","",VLOOKUP($C8,CTBat!$G$10:$BR$203,Q$4,FALSE))</f>
        <v/>
      </c>
      <c r="R8" s="37" t="str">
        <f>IF($C8="","",VLOOKUP($C8,CTBat!$G$10:$BR$203,R$4,FALSE))</f>
        <v/>
      </c>
      <c r="S8" s="37" t="str">
        <f>IF($C8="","",VLOOKUP($C8,CTBat!$G$10:$BR$203,S$4,FALSE))</f>
        <v/>
      </c>
      <c r="T8" s="38" t="str">
        <f>IF($C8="","",VLOOKUP($C8,CTBat!$G$10:$BR$203,T$4,FALSE))</f>
        <v/>
      </c>
      <c r="U8" s="53" t="str">
        <f t="shared" si="1"/>
        <v/>
      </c>
      <c r="V8" s="239" t="str">
        <f t="shared" si="2"/>
        <v/>
      </c>
      <c r="W8" s="239" t="str">
        <f t="shared" si="6"/>
        <v/>
      </c>
      <c r="X8" s="239" t="str">
        <f t="shared" si="7"/>
        <v/>
      </c>
      <c r="Y8" s="239" t="str">
        <f t="shared" si="8"/>
        <v/>
      </c>
      <c r="Z8" s="239" t="str">
        <f t="shared" si="9"/>
        <v/>
      </c>
      <c r="AA8" s="239" t="str">
        <f t="shared" si="10"/>
        <v/>
      </c>
      <c r="AB8" s="239" t="str">
        <f t="shared" si="11"/>
        <v/>
      </c>
      <c r="AC8" s="240" t="str">
        <f t="shared" si="12"/>
        <v/>
      </c>
      <c r="AD8" s="37" t="str">
        <f>IF($C8="","",VLOOKUP($C8,CTBat!$G$10:$BR$203,AD$4,FALSE))</f>
        <v/>
      </c>
      <c r="AE8" s="37" t="str">
        <f>IF($C8="","",VLOOKUP($C8,CTBat!$G$10:$BR$203,AE$4,FALSE))</f>
        <v/>
      </c>
      <c r="AF8" s="37" t="str">
        <f>IF($C8="","",VLOOKUP($C8,CTBat!$G$10:$BR$203,AF$4,FALSE))</f>
        <v/>
      </c>
      <c r="AG8" s="37" t="str">
        <f>IF($C8="","",VLOOKUP($C8,CTBat!$G$10:$BR$203,AG$4,FALSE))</f>
        <v/>
      </c>
      <c r="AH8" s="37" t="str">
        <f>IF($C8="","",VLOOKUP($C8,CTBat!$G$10:$BR$203,AH$4,FALSE))</f>
        <v/>
      </c>
      <c r="AI8" s="58" t="str">
        <f>IF($C8="","",VLOOKUP($C8,CTBat!$G$10:$BR$203,AI$4,FALSE))</f>
        <v/>
      </c>
      <c r="AJ8" s="38" t="str">
        <f>IF($C8="","",VLOOKUP($C8,CTBat!$G$10:$BR$203,AJ$4,FALSE))</f>
        <v/>
      </c>
      <c r="AK8" s="67" t="str">
        <f t="shared" si="13"/>
        <v/>
      </c>
      <c r="AL8" s="53" t="str">
        <f t="shared" si="14"/>
        <v/>
      </c>
      <c r="AM8" s="239" t="str">
        <f t="shared" si="15"/>
        <v/>
      </c>
      <c r="AN8" s="239" t="str">
        <f t="shared" si="16"/>
        <v/>
      </c>
      <c r="AO8" s="239" t="str">
        <f t="shared" si="17"/>
        <v/>
      </c>
      <c r="AP8" s="239" t="str">
        <f t="shared" si="18"/>
        <v/>
      </c>
      <c r="AQ8" s="239" t="str">
        <f t="shared" si="19"/>
        <v/>
      </c>
      <c r="AR8" s="239" t="str">
        <f t="shared" si="20"/>
        <v/>
      </c>
      <c r="AS8" s="239" t="str">
        <f t="shared" si="21"/>
        <v/>
      </c>
      <c r="AT8" s="240" t="str">
        <f t="shared" si="22"/>
        <v/>
      </c>
      <c r="AU8" s="58" t="str">
        <f>IF($C8="","",VLOOKUP($C8,CTBat!$G$10:$BR$203,AU$4,FALSE))</f>
        <v/>
      </c>
      <c r="AV8" s="37" t="str">
        <f>IF($C8="","",VLOOKUP($C8,CTBat!$G$10:$BR$203,AV$4,FALSE))</f>
        <v/>
      </c>
      <c r="AW8" s="37" t="str">
        <f>IF($C8="","",VLOOKUP($C8,CTBat!$G$10:$BR$203,AW$4,FALSE))</f>
        <v/>
      </c>
      <c r="AX8" s="37" t="str">
        <f>IF($C8="","",VLOOKUP($C8,CTBat!$G$10:$BR$203,AX$4,FALSE))</f>
        <v/>
      </c>
      <c r="AY8" s="38" t="str">
        <f>IF($C8="","",VLOOKUP($C8,CTBat!$G$10:$BR$203,AY$4,FALSE))</f>
        <v/>
      </c>
      <c r="AZ8" s="67" t="str">
        <f t="shared" si="23"/>
        <v/>
      </c>
    </row>
    <row r="9" spans="1:52">
      <c r="A9">
        <v>4</v>
      </c>
      <c r="B9" s="36" t="s">
        <v>100</v>
      </c>
      <c r="C9" s="65"/>
      <c r="D9" s="37" t="str">
        <f>IF($C9="","",VLOOKUP($C9,CTBat!$G$10:$BR$203,D$4,FALSE))</f>
        <v/>
      </c>
      <c r="E9" s="37" t="str">
        <f>IF($C9="","",VLOOKUP($C9,CTBat!$G$10:$BR$203,E$4,FALSE))</f>
        <v/>
      </c>
      <c r="F9" s="53" t="str">
        <f t="shared" si="3"/>
        <v/>
      </c>
      <c r="G9" s="239" t="str">
        <f t="shared" si="4"/>
        <v/>
      </c>
      <c r="H9" s="239" t="str">
        <f t="shared" si="5"/>
        <v/>
      </c>
      <c r="I9" s="239" t="str">
        <f t="shared" si="0"/>
        <v/>
      </c>
      <c r="J9" s="58" t="str">
        <f>IF($C9="","",VLOOKUP($C9,CTBat!$G$10:$BR$203,J$4,FALSE))</f>
        <v/>
      </c>
      <c r="K9" s="37" t="str">
        <f>IF($C9="","",VLOOKUP($C9,CTBat!$G$10:$BR$203,K$4,FALSE))</f>
        <v/>
      </c>
      <c r="L9" s="38" t="str">
        <f>IF($C9="","",VLOOKUP($C9,CTBat!$G$10:$BR$203,L$4,FALSE))</f>
        <v/>
      </c>
      <c r="M9" s="37" t="str">
        <f>IF($C9="","",VLOOKUP($C9,CTBat!$G$10:$BR$203,M$4,FALSE))</f>
        <v/>
      </c>
      <c r="N9" s="37" t="str">
        <f>IF($C9="","",VLOOKUP($C9,CTBat!$G$10:$BR$203,N$4,FALSE))</f>
        <v/>
      </c>
      <c r="O9" s="37" t="str">
        <f>IF($C9="","",VLOOKUP($C9,CTBat!$G$10:$BR$203,O$4,FALSE))</f>
        <v/>
      </c>
      <c r="P9" s="37" t="str">
        <f>IF($C9="","",VLOOKUP($C9,CTBat!$G$10:$BR$203,P$4,FALSE))</f>
        <v/>
      </c>
      <c r="Q9" s="37" t="str">
        <f>IF($C9="","",VLOOKUP($C9,CTBat!$G$10:$BR$203,Q$4,FALSE))</f>
        <v/>
      </c>
      <c r="R9" s="37" t="str">
        <f>IF($C9="","",VLOOKUP($C9,CTBat!$G$10:$BR$203,R$4,FALSE))</f>
        <v/>
      </c>
      <c r="S9" s="37" t="str">
        <f>IF($C9="","",VLOOKUP($C9,CTBat!$G$10:$BR$203,S$4,FALSE))</f>
        <v/>
      </c>
      <c r="T9" s="38" t="str">
        <f>IF($C9="","",VLOOKUP($C9,CTBat!$G$10:$BR$203,T$4,FALSE))</f>
        <v/>
      </c>
      <c r="U9" s="53" t="str">
        <f t="shared" si="1"/>
        <v/>
      </c>
      <c r="V9" s="239" t="str">
        <f t="shared" si="2"/>
        <v/>
      </c>
      <c r="W9" s="239" t="str">
        <f t="shared" si="6"/>
        <v/>
      </c>
      <c r="X9" s="239" t="str">
        <f t="shared" si="7"/>
        <v/>
      </c>
      <c r="Y9" s="239" t="str">
        <f t="shared" si="8"/>
        <v/>
      </c>
      <c r="Z9" s="239" t="str">
        <f t="shared" si="9"/>
        <v/>
      </c>
      <c r="AA9" s="239" t="str">
        <f t="shared" si="10"/>
        <v/>
      </c>
      <c r="AB9" s="239" t="str">
        <f t="shared" si="11"/>
        <v/>
      </c>
      <c r="AC9" s="240" t="str">
        <f t="shared" si="12"/>
        <v/>
      </c>
      <c r="AD9" s="37" t="str">
        <f>IF($C9="","",VLOOKUP($C9,CTBat!$G$10:$BR$203,AD$4,FALSE))</f>
        <v/>
      </c>
      <c r="AE9" s="37" t="str">
        <f>IF($C9="","",VLOOKUP($C9,CTBat!$G$10:$BR$203,AE$4,FALSE))</f>
        <v/>
      </c>
      <c r="AF9" s="37" t="str">
        <f>IF($C9="","",VLOOKUP($C9,CTBat!$G$10:$BR$203,AF$4,FALSE))</f>
        <v/>
      </c>
      <c r="AG9" s="37" t="str">
        <f>IF($C9="","",VLOOKUP($C9,CTBat!$G$10:$BR$203,AG$4,FALSE))</f>
        <v/>
      </c>
      <c r="AH9" s="37" t="str">
        <f>IF($C9="","",VLOOKUP($C9,CTBat!$G$10:$BR$203,AH$4,FALSE))</f>
        <v/>
      </c>
      <c r="AI9" s="58" t="str">
        <f>IF($C9="","",VLOOKUP($C9,CTBat!$G$10:$BR$203,AI$4,FALSE))</f>
        <v/>
      </c>
      <c r="AJ9" s="38" t="str">
        <f>IF($C9="","",VLOOKUP($C9,CTBat!$G$10:$BR$203,AJ$4,FALSE))</f>
        <v/>
      </c>
      <c r="AK9" s="67" t="str">
        <f t="shared" si="13"/>
        <v/>
      </c>
      <c r="AL9" s="53" t="str">
        <f t="shared" si="14"/>
        <v/>
      </c>
      <c r="AM9" s="239" t="str">
        <f t="shared" si="15"/>
        <v/>
      </c>
      <c r="AN9" s="239" t="str">
        <f t="shared" si="16"/>
        <v/>
      </c>
      <c r="AO9" s="239" t="str">
        <f t="shared" si="17"/>
        <v/>
      </c>
      <c r="AP9" s="239" t="str">
        <f t="shared" si="18"/>
        <v/>
      </c>
      <c r="AQ9" s="239" t="str">
        <f t="shared" si="19"/>
        <v/>
      </c>
      <c r="AR9" s="239" t="str">
        <f t="shared" si="20"/>
        <v/>
      </c>
      <c r="AS9" s="239" t="str">
        <f t="shared" si="21"/>
        <v/>
      </c>
      <c r="AT9" s="240" t="str">
        <f t="shared" si="22"/>
        <v/>
      </c>
      <c r="AU9" s="58" t="str">
        <f>IF($C9="","",VLOOKUP($C9,CTBat!$G$10:$BR$203,AU$4,FALSE))</f>
        <v/>
      </c>
      <c r="AV9" s="37" t="str">
        <f>IF($C9="","",VLOOKUP($C9,CTBat!$G$10:$BR$203,AV$4,FALSE))</f>
        <v/>
      </c>
      <c r="AW9" s="37" t="str">
        <f>IF($C9="","",VLOOKUP($C9,CTBat!$G$10:$BR$203,AW$4,FALSE))</f>
        <v/>
      </c>
      <c r="AX9" s="37" t="str">
        <f>IF($C9="","",VLOOKUP($C9,CTBat!$G$10:$BR$203,AX$4,FALSE))</f>
        <v/>
      </c>
      <c r="AY9" s="38" t="str">
        <f>IF($C9="","",VLOOKUP($C9,CTBat!$G$10:$BR$203,AY$4,FALSE))</f>
        <v/>
      </c>
      <c r="AZ9" s="67" t="str">
        <f t="shared" si="23"/>
        <v/>
      </c>
    </row>
    <row r="10" spans="1:52">
      <c r="A10">
        <v>5</v>
      </c>
      <c r="B10" s="36" t="s">
        <v>18</v>
      </c>
      <c r="C10" s="65"/>
      <c r="D10" s="37" t="str">
        <f>IF($C10="","",VLOOKUP($C10,CTBat!$G$10:$BR$203,D$4,FALSE))</f>
        <v/>
      </c>
      <c r="E10" s="37" t="str">
        <f>IF($C10="","",VLOOKUP($C10,CTBat!$G$10:$BR$203,E$4,FALSE))</f>
        <v/>
      </c>
      <c r="F10" s="53" t="str">
        <f t="shared" si="3"/>
        <v/>
      </c>
      <c r="G10" s="239" t="str">
        <f t="shared" si="4"/>
        <v/>
      </c>
      <c r="H10" s="239" t="str">
        <f t="shared" si="5"/>
        <v/>
      </c>
      <c r="I10" s="239" t="str">
        <f t="shared" si="0"/>
        <v/>
      </c>
      <c r="J10" s="58" t="str">
        <f>IF($C10="","",VLOOKUP($C10,CTBat!$G$10:$BR$203,J$4,FALSE))</f>
        <v/>
      </c>
      <c r="K10" s="37" t="str">
        <f>IF($C10="","",VLOOKUP($C10,CTBat!$G$10:$BR$203,K$4,FALSE))</f>
        <v/>
      </c>
      <c r="L10" s="38" t="str">
        <f>IF($C10="","",VLOOKUP($C10,CTBat!$G$10:$BR$203,L$4,FALSE))</f>
        <v/>
      </c>
      <c r="M10" s="37" t="str">
        <f>IF($C10="","",VLOOKUP($C10,CTBat!$G$10:$BR$203,M$4,FALSE))</f>
        <v/>
      </c>
      <c r="N10" s="37" t="str">
        <f>IF($C10="","",VLOOKUP($C10,CTBat!$G$10:$BR$203,N$4,FALSE))</f>
        <v/>
      </c>
      <c r="O10" s="37" t="str">
        <f>IF($C10="","",VLOOKUP($C10,CTBat!$G$10:$BR$203,O$4,FALSE))</f>
        <v/>
      </c>
      <c r="P10" s="37" t="str">
        <f>IF($C10="","",VLOOKUP($C10,CTBat!$G$10:$BR$203,P$4,FALSE))</f>
        <v/>
      </c>
      <c r="Q10" s="37" t="str">
        <f>IF($C10="","",VLOOKUP($C10,CTBat!$G$10:$BR$203,Q$4,FALSE))</f>
        <v/>
      </c>
      <c r="R10" s="37" t="str">
        <f>IF($C10="","",VLOOKUP($C10,CTBat!$G$10:$BR$203,R$4,FALSE))</f>
        <v/>
      </c>
      <c r="S10" s="37" t="str">
        <f>IF($C10="","",VLOOKUP($C10,CTBat!$G$10:$BR$203,S$4,FALSE))</f>
        <v/>
      </c>
      <c r="T10" s="38" t="str">
        <f>IF($C10="","",VLOOKUP($C10,CTBat!$G$10:$BR$203,T$4,FALSE))</f>
        <v/>
      </c>
      <c r="U10" s="53" t="str">
        <f t="shared" si="1"/>
        <v/>
      </c>
      <c r="V10" s="239" t="str">
        <f t="shared" si="2"/>
        <v/>
      </c>
      <c r="W10" s="239" t="str">
        <f t="shared" si="6"/>
        <v/>
      </c>
      <c r="X10" s="239" t="str">
        <f t="shared" si="7"/>
        <v/>
      </c>
      <c r="Y10" s="239" t="str">
        <f t="shared" si="8"/>
        <v/>
      </c>
      <c r="Z10" s="239" t="str">
        <f t="shared" si="9"/>
        <v/>
      </c>
      <c r="AA10" s="239" t="str">
        <f t="shared" si="10"/>
        <v/>
      </c>
      <c r="AB10" s="239" t="str">
        <f t="shared" si="11"/>
        <v/>
      </c>
      <c r="AC10" s="240" t="str">
        <f t="shared" si="12"/>
        <v/>
      </c>
      <c r="AD10" s="37" t="str">
        <f>IF($C10="","",VLOOKUP($C10,CTBat!$G$10:$BR$203,AD$4,FALSE))</f>
        <v/>
      </c>
      <c r="AE10" s="37" t="str">
        <f>IF($C10="","",VLOOKUP($C10,CTBat!$G$10:$BR$203,AE$4,FALSE))</f>
        <v/>
      </c>
      <c r="AF10" s="37" t="str">
        <f>IF($C10="","",VLOOKUP($C10,CTBat!$G$10:$BR$203,AF$4,FALSE))</f>
        <v/>
      </c>
      <c r="AG10" s="37" t="str">
        <f>IF($C10="","",VLOOKUP($C10,CTBat!$G$10:$BR$203,AG$4,FALSE))</f>
        <v/>
      </c>
      <c r="AH10" s="37" t="str">
        <f>IF($C10="","",VLOOKUP($C10,CTBat!$G$10:$BR$203,AH$4,FALSE))</f>
        <v/>
      </c>
      <c r="AI10" s="58" t="str">
        <f>IF($C10="","",VLOOKUP($C10,CTBat!$G$10:$BR$203,AI$4,FALSE))</f>
        <v/>
      </c>
      <c r="AJ10" s="38" t="str">
        <f>IF($C10="","",VLOOKUP($C10,CTBat!$G$10:$BR$203,AJ$4,FALSE))</f>
        <v/>
      </c>
      <c r="AK10" s="67" t="str">
        <f t="shared" si="13"/>
        <v/>
      </c>
      <c r="AL10" s="53" t="str">
        <f t="shared" si="14"/>
        <v/>
      </c>
      <c r="AM10" s="239" t="str">
        <f t="shared" si="15"/>
        <v/>
      </c>
      <c r="AN10" s="239" t="str">
        <f t="shared" si="16"/>
        <v/>
      </c>
      <c r="AO10" s="239" t="str">
        <f t="shared" si="17"/>
        <v/>
      </c>
      <c r="AP10" s="239" t="str">
        <f t="shared" si="18"/>
        <v/>
      </c>
      <c r="AQ10" s="239" t="str">
        <f t="shared" si="19"/>
        <v/>
      </c>
      <c r="AR10" s="239" t="str">
        <f t="shared" si="20"/>
        <v/>
      </c>
      <c r="AS10" s="239" t="str">
        <f t="shared" si="21"/>
        <v/>
      </c>
      <c r="AT10" s="240" t="str">
        <f t="shared" si="22"/>
        <v/>
      </c>
      <c r="AU10" s="58" t="str">
        <f>IF($C10="","",VLOOKUP($C10,CTBat!$G$10:$BR$203,AU$4,FALSE))</f>
        <v/>
      </c>
      <c r="AV10" s="37" t="str">
        <f>IF($C10="","",VLOOKUP($C10,CTBat!$G$10:$BR$203,AV$4,FALSE))</f>
        <v/>
      </c>
      <c r="AW10" s="37" t="str">
        <f>IF($C10="","",VLOOKUP($C10,CTBat!$G$10:$BR$203,AW$4,FALSE))</f>
        <v/>
      </c>
      <c r="AX10" s="37" t="str">
        <f>IF($C10="","",VLOOKUP($C10,CTBat!$G$10:$BR$203,AX$4,FALSE))</f>
        <v/>
      </c>
      <c r="AY10" s="38" t="str">
        <f>IF($C10="","",VLOOKUP($C10,CTBat!$G$10:$BR$203,AY$4,FALSE))</f>
        <v/>
      </c>
      <c r="AZ10" s="67" t="str">
        <f t="shared" si="23"/>
        <v/>
      </c>
    </row>
    <row r="11" spans="1:52">
      <c r="A11">
        <v>6</v>
      </c>
      <c r="B11" s="36" t="s">
        <v>101</v>
      </c>
      <c r="C11" s="65"/>
      <c r="D11" s="37" t="str">
        <f>IF($C11="","",VLOOKUP($C11,CTBat!$G$10:$BR$203,D$4,FALSE))</f>
        <v/>
      </c>
      <c r="E11" s="37" t="str">
        <f>IF($C11="","",VLOOKUP($C11,CTBat!$G$10:$BR$203,E$4,FALSE))</f>
        <v/>
      </c>
      <c r="F11" s="53" t="str">
        <f t="shared" si="3"/>
        <v/>
      </c>
      <c r="G11" s="239" t="str">
        <f t="shared" si="4"/>
        <v/>
      </c>
      <c r="H11" s="239" t="str">
        <f t="shared" si="5"/>
        <v/>
      </c>
      <c r="I11" s="239" t="str">
        <f>IF($C11="","",IF(AND(S11&gt;4,S11&lt;&gt;"-"),1,0))</f>
        <v/>
      </c>
      <c r="J11" s="58" t="str">
        <f>IF($C11="","",VLOOKUP($C11,CTBat!$G$10:$BR$203,J$4,FALSE))</f>
        <v/>
      </c>
      <c r="K11" s="37" t="str">
        <f>IF($C11="","",VLOOKUP($C11,CTBat!$G$10:$BR$203,K$4,FALSE))</f>
        <v/>
      </c>
      <c r="L11" s="38" t="str">
        <f>IF($C11="","",VLOOKUP($C11,CTBat!$G$10:$BR$203,L$4,FALSE))</f>
        <v/>
      </c>
      <c r="M11" s="37" t="str">
        <f>IF($C11="","",VLOOKUP($C11,CTBat!$G$10:$BR$203,M$4,FALSE))</f>
        <v/>
      </c>
      <c r="N11" s="37" t="str">
        <f>IF($C11="","",VLOOKUP($C11,CTBat!$G$10:$BR$203,N$4,FALSE))</f>
        <v/>
      </c>
      <c r="O11" s="37" t="str">
        <f>IF($C11="","",VLOOKUP($C11,CTBat!$G$10:$BR$203,O$4,FALSE))</f>
        <v/>
      </c>
      <c r="P11" s="37" t="str">
        <f>IF($C11="","",VLOOKUP($C11,CTBat!$G$10:$BR$203,P$4,FALSE))</f>
        <v/>
      </c>
      <c r="Q11" s="37" t="str">
        <f>IF($C11="","",VLOOKUP($C11,CTBat!$G$10:$BR$203,Q$4,FALSE))</f>
        <v/>
      </c>
      <c r="R11" s="37" t="str">
        <f>IF($C11="","",VLOOKUP($C11,CTBat!$G$10:$BR$203,R$4,FALSE))</f>
        <v/>
      </c>
      <c r="S11" s="37" t="str">
        <f>IF($C11="","",VLOOKUP($C11,CTBat!$G$10:$BR$203,S$4,FALSE))</f>
        <v/>
      </c>
      <c r="T11" s="38" t="str">
        <f>IF($C11="","",VLOOKUP($C11,CTBat!$G$10:$BR$203,T$4,FALSE))</f>
        <v/>
      </c>
      <c r="U11" s="53" t="str">
        <f t="shared" si="1"/>
        <v/>
      </c>
      <c r="V11" s="239" t="str">
        <f t="shared" si="2"/>
        <v/>
      </c>
      <c r="W11" s="239" t="str">
        <f t="shared" si="6"/>
        <v/>
      </c>
      <c r="X11" s="239" t="str">
        <f t="shared" si="7"/>
        <v/>
      </c>
      <c r="Y11" s="239" t="str">
        <f t="shared" si="8"/>
        <v/>
      </c>
      <c r="Z11" s="239" t="str">
        <f t="shared" si="9"/>
        <v/>
      </c>
      <c r="AA11" s="239" t="str">
        <f t="shared" si="10"/>
        <v/>
      </c>
      <c r="AB11" s="239" t="str">
        <f t="shared" si="11"/>
        <v/>
      </c>
      <c r="AC11" s="240" t="str">
        <f t="shared" si="12"/>
        <v/>
      </c>
      <c r="AD11" s="37" t="str">
        <f>IF($C11="","",VLOOKUP($C11,CTBat!$G$10:$BR$203,AD$4,FALSE))</f>
        <v/>
      </c>
      <c r="AE11" s="37" t="str">
        <f>IF($C11="","",VLOOKUP($C11,CTBat!$G$10:$BR$203,AE$4,FALSE))</f>
        <v/>
      </c>
      <c r="AF11" s="37" t="str">
        <f>IF($C11="","",VLOOKUP($C11,CTBat!$G$10:$BR$203,AF$4,FALSE))</f>
        <v/>
      </c>
      <c r="AG11" s="37" t="str">
        <f>IF($C11="","",VLOOKUP($C11,CTBat!$G$10:$BR$203,AG$4,FALSE))</f>
        <v/>
      </c>
      <c r="AH11" s="37" t="str">
        <f>IF($C11="","",VLOOKUP($C11,CTBat!$G$10:$BR$203,AH$4,FALSE))</f>
        <v/>
      </c>
      <c r="AI11" s="58" t="str">
        <f>IF($C11="","",VLOOKUP($C11,CTBat!$G$10:$BR$203,AI$4,FALSE))</f>
        <v/>
      </c>
      <c r="AJ11" s="38" t="str">
        <f>IF($C11="","",VLOOKUP($C11,CTBat!$G$10:$BR$203,AJ$4,FALSE))</f>
        <v/>
      </c>
      <c r="AK11" s="67" t="str">
        <f t="shared" si="13"/>
        <v/>
      </c>
      <c r="AL11" s="53" t="str">
        <f t="shared" si="14"/>
        <v/>
      </c>
      <c r="AM11" s="239" t="str">
        <f t="shared" si="15"/>
        <v/>
      </c>
      <c r="AN11" s="239" t="str">
        <f t="shared" si="16"/>
        <v/>
      </c>
      <c r="AO11" s="239" t="str">
        <f t="shared" si="17"/>
        <v/>
      </c>
      <c r="AP11" s="239" t="str">
        <f t="shared" si="18"/>
        <v/>
      </c>
      <c r="AQ11" s="239" t="str">
        <f t="shared" si="19"/>
        <v/>
      </c>
      <c r="AR11" s="239" t="str">
        <f t="shared" si="20"/>
        <v/>
      </c>
      <c r="AS11" s="239" t="str">
        <f t="shared" si="21"/>
        <v/>
      </c>
      <c r="AT11" s="240" t="str">
        <f t="shared" si="22"/>
        <v/>
      </c>
      <c r="AU11" s="58" t="str">
        <f>IF($C11="","",VLOOKUP($C11,CTBat!$G$10:$BR$203,AU$4,FALSE))</f>
        <v/>
      </c>
      <c r="AV11" s="37" t="str">
        <f>IF($C11="","",VLOOKUP($C11,CTBat!$G$10:$BR$203,AV$4,FALSE))</f>
        <v/>
      </c>
      <c r="AW11" s="37" t="str">
        <f>IF($C11="","",VLOOKUP($C11,CTBat!$G$10:$BR$203,AW$4,FALSE))</f>
        <v/>
      </c>
      <c r="AX11" s="37" t="str">
        <f>IF($C11="","",VLOOKUP($C11,CTBat!$G$10:$BR$203,AX$4,FALSE))</f>
        <v/>
      </c>
      <c r="AY11" s="38" t="str">
        <f>IF($C11="","",VLOOKUP($C11,CTBat!$G$10:$BR$203,AY$4,FALSE))</f>
        <v/>
      </c>
      <c r="AZ11" s="67" t="str">
        <f t="shared" si="23"/>
        <v/>
      </c>
    </row>
    <row r="12" spans="1:52">
      <c r="A12">
        <v>7</v>
      </c>
      <c r="B12" s="36" t="s">
        <v>101</v>
      </c>
      <c r="C12" s="65"/>
      <c r="D12" s="37" t="str">
        <f>IF($C12="","",VLOOKUP($C12,CTBat!$G$10:$BR$203,D$4,FALSE))</f>
        <v/>
      </c>
      <c r="E12" s="37" t="str">
        <f>IF($C12="","",VLOOKUP($C12,CTBat!$G$10:$BR$203,E$4,FALSE))</f>
        <v/>
      </c>
      <c r="F12" s="53" t="str">
        <f t="shared" si="3"/>
        <v/>
      </c>
      <c r="G12" s="239" t="str">
        <f t="shared" si="4"/>
        <v/>
      </c>
      <c r="H12" s="239" t="str">
        <f t="shared" si="5"/>
        <v/>
      </c>
      <c r="I12" s="239" t="str">
        <f t="shared" ref="I12:I17" si="24">IF($C12="","",IF(AND(S12&gt;4,S12&lt;&gt;"-"),1,0))</f>
        <v/>
      </c>
      <c r="J12" s="58" t="str">
        <f>IF($C12="","",VLOOKUP($C12,CTBat!$G$10:$BR$203,J$4,FALSE))</f>
        <v/>
      </c>
      <c r="K12" s="37" t="str">
        <f>IF($C12="","",VLOOKUP($C12,CTBat!$G$10:$BR$203,K$4,FALSE))</f>
        <v/>
      </c>
      <c r="L12" s="38" t="str">
        <f>IF($C12="","",VLOOKUP($C12,CTBat!$G$10:$BR$203,L$4,FALSE))</f>
        <v/>
      </c>
      <c r="M12" s="37" t="str">
        <f>IF($C12="","",VLOOKUP($C12,CTBat!$G$10:$BR$203,M$4,FALSE))</f>
        <v/>
      </c>
      <c r="N12" s="37" t="str">
        <f>IF($C12="","",VLOOKUP($C12,CTBat!$G$10:$BR$203,N$4,FALSE))</f>
        <v/>
      </c>
      <c r="O12" s="37" t="str">
        <f>IF($C12="","",VLOOKUP($C12,CTBat!$G$10:$BR$203,O$4,FALSE))</f>
        <v/>
      </c>
      <c r="P12" s="37" t="str">
        <f>IF($C12="","",VLOOKUP($C12,CTBat!$G$10:$BR$203,P$4,FALSE))</f>
        <v/>
      </c>
      <c r="Q12" s="37" t="str">
        <f>IF($C12="","",VLOOKUP($C12,CTBat!$G$10:$BR$203,Q$4,FALSE))</f>
        <v/>
      </c>
      <c r="R12" s="37" t="str">
        <f>IF($C12="","",VLOOKUP($C12,CTBat!$G$10:$BR$203,R$4,FALSE))</f>
        <v/>
      </c>
      <c r="S12" s="37" t="str">
        <f>IF($C12="","",VLOOKUP($C12,CTBat!$G$10:$BR$203,S$4,FALSE))</f>
        <v/>
      </c>
      <c r="T12" s="38" t="str">
        <f>IF($C12="","",VLOOKUP($C12,CTBat!$G$10:$BR$203,T$4,FALSE))</f>
        <v/>
      </c>
      <c r="U12" s="53" t="str">
        <f t="shared" si="1"/>
        <v/>
      </c>
      <c r="V12" s="239" t="str">
        <f t="shared" si="2"/>
        <v/>
      </c>
      <c r="W12" s="239" t="str">
        <f t="shared" si="6"/>
        <v/>
      </c>
      <c r="X12" s="239" t="str">
        <f t="shared" si="7"/>
        <v/>
      </c>
      <c r="Y12" s="239" t="str">
        <f t="shared" si="8"/>
        <v/>
      </c>
      <c r="Z12" s="239" t="str">
        <f t="shared" si="9"/>
        <v/>
      </c>
      <c r="AA12" s="239" t="str">
        <f t="shared" si="10"/>
        <v/>
      </c>
      <c r="AB12" s="239" t="str">
        <f t="shared" si="11"/>
        <v/>
      </c>
      <c r="AC12" s="240" t="str">
        <f t="shared" si="12"/>
        <v/>
      </c>
      <c r="AD12" s="37" t="str">
        <f>IF($C12="","",VLOOKUP($C12,CTBat!$G$10:$BR$203,AD$4,FALSE))</f>
        <v/>
      </c>
      <c r="AE12" s="37" t="str">
        <f>IF($C12="","",VLOOKUP($C12,CTBat!$G$10:$BR$203,AE$4,FALSE))</f>
        <v/>
      </c>
      <c r="AF12" s="37" t="str">
        <f>IF($C12="","",VLOOKUP($C12,CTBat!$G$10:$BR$203,AF$4,FALSE))</f>
        <v/>
      </c>
      <c r="AG12" s="37" t="str">
        <f>IF($C12="","",VLOOKUP($C12,CTBat!$G$10:$BR$203,AG$4,FALSE))</f>
        <v/>
      </c>
      <c r="AH12" s="37" t="str">
        <f>IF($C12="","",VLOOKUP($C12,CTBat!$G$10:$BR$203,AH$4,FALSE))</f>
        <v/>
      </c>
      <c r="AI12" s="58" t="str">
        <f>IF($C12="","",VLOOKUP($C12,CTBat!$G$10:$BR$203,AI$4,FALSE))</f>
        <v/>
      </c>
      <c r="AJ12" s="38" t="str">
        <f>IF($C12="","",VLOOKUP($C12,CTBat!$G$10:$BR$203,AJ$4,FALSE))</f>
        <v/>
      </c>
      <c r="AK12" s="67" t="str">
        <f t="shared" si="13"/>
        <v/>
      </c>
      <c r="AL12" s="53" t="str">
        <f t="shared" si="14"/>
        <v/>
      </c>
      <c r="AM12" s="239" t="str">
        <f t="shared" si="15"/>
        <v/>
      </c>
      <c r="AN12" s="239" t="str">
        <f t="shared" si="16"/>
        <v/>
      </c>
      <c r="AO12" s="239" t="str">
        <f t="shared" si="17"/>
        <v/>
      </c>
      <c r="AP12" s="239" t="str">
        <f t="shared" si="18"/>
        <v/>
      </c>
      <c r="AQ12" s="239" t="str">
        <f t="shared" si="19"/>
        <v/>
      </c>
      <c r="AR12" s="239" t="str">
        <f t="shared" si="20"/>
        <v/>
      </c>
      <c r="AS12" s="239" t="str">
        <f t="shared" si="21"/>
        <v/>
      </c>
      <c r="AT12" s="240" t="str">
        <f t="shared" si="22"/>
        <v/>
      </c>
      <c r="AU12" s="58" t="str">
        <f>IF($C12="","",VLOOKUP($C12,CTBat!$G$10:$BR$203,AU$4,FALSE))</f>
        <v/>
      </c>
      <c r="AV12" s="37" t="str">
        <f>IF($C12="","",VLOOKUP($C12,CTBat!$G$10:$BR$203,AV$4,FALSE))</f>
        <v/>
      </c>
      <c r="AW12" s="37" t="str">
        <f>IF($C12="","",VLOOKUP($C12,CTBat!$G$10:$BR$203,AW$4,FALSE))</f>
        <v/>
      </c>
      <c r="AX12" s="37" t="str">
        <f>IF($C12="","",VLOOKUP($C12,CTBat!$G$10:$BR$203,AX$4,FALSE))</f>
        <v/>
      </c>
      <c r="AY12" s="38" t="str">
        <f>IF($C12="","",VLOOKUP($C12,CTBat!$G$10:$BR$203,AY$4,FALSE))</f>
        <v/>
      </c>
      <c r="AZ12" s="67" t="str">
        <f t="shared" si="23"/>
        <v/>
      </c>
    </row>
    <row r="13" spans="1:52">
      <c r="A13">
        <v>8</v>
      </c>
      <c r="B13" s="36" t="s">
        <v>101</v>
      </c>
      <c r="C13" s="65"/>
      <c r="D13" s="37" t="str">
        <f>IF($C13="","",VLOOKUP($C13,CTBat!$G$10:$BR$203,D$4,FALSE))</f>
        <v/>
      </c>
      <c r="E13" s="37" t="str">
        <f>IF($C13="","",VLOOKUP($C13,CTBat!$G$10:$BR$203,E$4,FALSE))</f>
        <v/>
      </c>
      <c r="F13" s="53" t="str">
        <f t="shared" ref="F13" si="25">IF($C13="","",IF(AND(N13&gt;0,N13=SUM(M13:T13)),1,0))</f>
        <v/>
      </c>
      <c r="G13" s="275" t="str">
        <f t="shared" ref="G13" si="26">IF($C13="","",IF(AND(OR(N13&gt;0,R13&gt;0),SUM(N13,R13)=SUM(M13:T13)),1,0))</f>
        <v/>
      </c>
      <c r="H13" s="275" t="str">
        <f t="shared" ref="H13" si="27">IF($C13="","",IF(L13&gt;6,1,0))</f>
        <v/>
      </c>
      <c r="I13" s="275" t="str">
        <f t="shared" ref="I13" si="28">IF($C13="","",IF(AND(S13&gt;4,S13&lt;&gt;"-"),1,0))</f>
        <v/>
      </c>
      <c r="J13" s="58" t="str">
        <f>IF($C13="","",VLOOKUP($C13,CTBat!$G$10:$BR$203,J$4,FALSE))</f>
        <v/>
      </c>
      <c r="K13" s="37" t="str">
        <f>IF($C13="","",VLOOKUP($C13,CTBat!$G$10:$BR$203,K$4,FALSE))</f>
        <v/>
      </c>
      <c r="L13" s="38" t="str">
        <f>IF($C13="","",VLOOKUP($C13,CTBat!$G$10:$BR$203,L$4,FALSE))</f>
        <v/>
      </c>
      <c r="M13" s="37" t="str">
        <f>IF($C13="","",VLOOKUP($C13,CTBat!$G$10:$BR$203,M$4,FALSE))</f>
        <v/>
      </c>
      <c r="N13" s="37" t="str">
        <f>IF($C13="","",VLOOKUP($C13,CTBat!$G$10:$BR$203,N$4,FALSE))</f>
        <v/>
      </c>
      <c r="O13" s="37" t="str">
        <f>IF($C13="","",VLOOKUP($C13,CTBat!$G$10:$BR$203,O$4,FALSE))</f>
        <v/>
      </c>
      <c r="P13" s="37" t="str">
        <f>IF($C13="","",VLOOKUP($C13,CTBat!$G$10:$BR$203,P$4,FALSE))</f>
        <v/>
      </c>
      <c r="Q13" s="37" t="str">
        <f>IF($C13="","",VLOOKUP($C13,CTBat!$G$10:$BR$203,Q$4,FALSE))</f>
        <v/>
      </c>
      <c r="R13" s="37" t="str">
        <f>IF($C13="","",VLOOKUP($C13,CTBat!$G$10:$BR$203,R$4,FALSE))</f>
        <v/>
      </c>
      <c r="S13" s="37" t="str">
        <f>IF($C13="","",VLOOKUP($C13,CTBat!$G$10:$BR$203,S$4,FALSE))</f>
        <v/>
      </c>
      <c r="T13" s="38" t="str">
        <f>IF($C13="","",VLOOKUP($C13,CTBat!$G$10:$BR$203,T$4,FALSE))</f>
        <v/>
      </c>
      <c r="U13" s="53" t="str">
        <f t="shared" ref="U13" si="29">IF($C13="","",IF(OR(AD13+AG13&gt;14,AND(OR(AD13+AG13&gt;12,AND(AD13&gt;6,AG13&gt;6)),AI13&gt;6,OR(AJ13&gt;=AI13,AJ13&gt;6))),1,0))</f>
        <v/>
      </c>
      <c r="V13" s="275" t="str">
        <f t="shared" ref="V13" si="30">IF($C13="","",IF(OR(AND(AD13&gt;6,AH13&gt;6),AD13+AG13&gt;12),1,0))</f>
        <v/>
      </c>
      <c r="W13" s="275" t="str">
        <f t="shared" ref="W13" si="31">IF($C13="","",IF(AND(AD13&gt;6,AF13&gt;6,AG13&gt;6),1,0))</f>
        <v/>
      </c>
      <c r="X13" s="275" t="str">
        <f t="shared" ref="X13" si="32">IF($C13="","",IF(AND(AF13&gt;7,OR(AD13&gt;6,AG13&gt;6)),1,0))</f>
        <v/>
      </c>
      <c r="Y13" s="275" t="str">
        <f t="shared" ref="Y13" si="33">IF($C13="","",IF(AND(AF13&gt;6,OR(AD13&gt;6,AG13&gt;6)),1,0))</f>
        <v/>
      </c>
      <c r="Z13" s="275" t="str">
        <f t="shared" ref="Z13" si="34">IF($C13="","",IF(AND(OR(AD13&gt;6,AF13&gt;6),OR(AD13&gt;6,AG13&gt;6)),1,0))</f>
        <v/>
      </c>
      <c r="AA13" s="275" t="str">
        <f t="shared" ref="AA13" si="35">IF($C13="","",IF(AND(AD13&gt;4,OR(AD13&gt;6,AF13&gt;6,AG13&gt;6)),1,0))</f>
        <v/>
      </c>
      <c r="AB13" s="275" t="str">
        <f t="shared" ref="AB13" si="36">IF($C13="","",IF(AND(AD13&gt;4,OR(AD13&gt;6,AE13&gt;6,AF13&gt;6,AG13&gt;6)),1,0))</f>
        <v/>
      </c>
      <c r="AC13" s="276" t="str">
        <f t="shared" ref="AC13" si="37">IF($C13="","",IF(AND(AD13&gt;4,MAX(AD13:AH13)&gt;6),1,0))</f>
        <v/>
      </c>
      <c r="AD13" s="37" t="str">
        <f>IF($C13="","",VLOOKUP($C13,CTBat!$G$10:$BR$203,AD$4,FALSE))</f>
        <v/>
      </c>
      <c r="AE13" s="37" t="str">
        <f>IF($C13="","",VLOOKUP($C13,CTBat!$G$10:$BR$203,AE$4,FALSE))</f>
        <v/>
      </c>
      <c r="AF13" s="37" t="str">
        <f>IF($C13="","",VLOOKUP($C13,CTBat!$G$10:$BR$203,AF$4,FALSE))</f>
        <v/>
      </c>
      <c r="AG13" s="37" t="str">
        <f>IF($C13="","",VLOOKUP($C13,CTBat!$G$10:$BR$203,AG$4,FALSE))</f>
        <v/>
      </c>
      <c r="AH13" s="37" t="str">
        <f>IF($C13="","",VLOOKUP($C13,CTBat!$G$10:$BR$203,AH$4,FALSE))</f>
        <v/>
      </c>
      <c r="AI13" s="58" t="str">
        <f>IF($C13="","",VLOOKUP($C13,CTBat!$G$10:$BR$203,AI$4,FALSE))</f>
        <v/>
      </c>
      <c r="AJ13" s="38" t="str">
        <f>IF($C13="","",VLOOKUP($C13,CTBat!$G$10:$BR$203,AJ$4,FALSE))</f>
        <v/>
      </c>
      <c r="AK13" s="67" t="str">
        <f t="shared" ref="AK13" si="38">IF($C13="","",(5*AD13+4*AF13+3*AG13+2*AE13+1*AH13+0.5*(AVERAGE(AD13:AE13))+0.5*AVERAGE(AD13,AH13)+1*(AVERAGE(AD13,AF13))+1*AVERAGE(AD13,AG13))/(5+4+3+2+1+0.5+0.5+1+1))</f>
        <v/>
      </c>
      <c r="AL13" s="53" t="str">
        <f t="shared" ref="AL13" si="39">IF($C13="","",IF(AND(OR(AU13+AX13&gt;12,AND(AU13&gt;6,AX13&gt;6)),AI13&gt;6,OR(AJ13&gt;=AI13,AJ13&gt;6)),1,0))</f>
        <v/>
      </c>
      <c r="AM13" s="275" t="str">
        <f t="shared" ref="AM13" si="40">IF($C13="","",IF(OR(AND(AU13&gt;6,AY13&gt;6),AU13+AX13&gt;12),1,0))</f>
        <v/>
      </c>
      <c r="AN13" s="275" t="str">
        <f t="shared" ref="AN13" si="41">IF($C13="","",IF(AND(AU13&gt;6,AW13&gt;6,AX13&gt;6),1,0))</f>
        <v/>
      </c>
      <c r="AO13" s="275" t="str">
        <f t="shared" ref="AO13" si="42">IF($C13="","",IF(AND(AW13&gt;7,OR(AU13&gt;6,AX13&gt;6)),1,0))</f>
        <v/>
      </c>
      <c r="AP13" s="275" t="str">
        <f t="shared" ref="AP13" si="43">IF($C13="","",IF(AND(AW13&gt;6,OR(AU13&gt;6,AX13&gt;6)),1,0))</f>
        <v/>
      </c>
      <c r="AQ13" s="275" t="str">
        <f t="shared" ref="AQ13" si="44">IF($C13="","",IF(AND(OR(AU13&gt;6,AW13&gt;6),OR(AU13&gt;6,AX13&gt;6)),1,0))</f>
        <v/>
      </c>
      <c r="AR13" s="275" t="str">
        <f t="shared" ref="AR13" si="45">IF($C13="","",IF(AND(AU13&gt;4,OR(AU13&gt;6,AW13&gt;6,AX13&gt;6)),1,0))</f>
        <v/>
      </c>
      <c r="AS13" s="275" t="str">
        <f t="shared" ref="AS13" si="46">IF($C13="","",IF(AND(AU13&gt;4,OR(AU13&gt;6,AV13&gt;6,AW13&gt;6,AX13&gt;6)),1,0))</f>
        <v/>
      </c>
      <c r="AT13" s="276" t="str">
        <f t="shared" ref="AT13" si="47">IF($C13="","",IF(AND(AU13&gt;4,MAX(AU13:AY13)&gt;6),1,0))</f>
        <v/>
      </c>
      <c r="AU13" s="58" t="str">
        <f>IF($C13="","",VLOOKUP($C13,CTBat!$G$10:$BR$203,AU$4,FALSE))</f>
        <v/>
      </c>
      <c r="AV13" s="37" t="str">
        <f>IF($C13="","",VLOOKUP($C13,CTBat!$G$10:$BR$203,AV$4,FALSE))</f>
        <v/>
      </c>
      <c r="AW13" s="37" t="str">
        <f>IF($C13="","",VLOOKUP($C13,CTBat!$G$10:$BR$203,AW$4,FALSE))</f>
        <v/>
      </c>
      <c r="AX13" s="37" t="str">
        <f>IF($C13="","",VLOOKUP($C13,CTBat!$G$10:$BR$203,AX$4,FALSE))</f>
        <v/>
      </c>
      <c r="AY13" s="38" t="str">
        <f>IF($C13="","",VLOOKUP($C13,CTBat!$G$10:$BR$203,AY$4,FALSE))</f>
        <v/>
      </c>
      <c r="AZ13" s="67" t="str">
        <f t="shared" ref="AZ13" si="48">IF($C13="","",(5*AU13+4*AW13+3*AX13+2*AV13+1*AY13+0.5*(AVERAGE(AU13:AV13))+0.5*AVERAGE(AU13,AY13)+1*(AVERAGE(AU13,AW13))+1*AVERAGE(AU13,AX13))/(5+4+3+2+1+0.5+0.5+1+1))</f>
        <v/>
      </c>
    </row>
    <row r="14" spans="1:52">
      <c r="A14">
        <v>9</v>
      </c>
      <c r="B14" s="36" t="s">
        <v>101</v>
      </c>
      <c r="C14" s="65"/>
      <c r="D14" s="37" t="str">
        <f>IF($C14="","",VLOOKUP($C14,CTBat!$G$10:$BR$203,D$4,FALSE))</f>
        <v/>
      </c>
      <c r="E14" s="37" t="str">
        <f>IF($C14="","",VLOOKUP($C14,CTBat!$G$10:$BR$203,E$4,FALSE))</f>
        <v/>
      </c>
      <c r="F14" s="53" t="str">
        <f t="shared" si="3"/>
        <v/>
      </c>
      <c r="G14" s="239" t="str">
        <f t="shared" si="4"/>
        <v/>
      </c>
      <c r="H14" s="239" t="str">
        <f t="shared" si="5"/>
        <v/>
      </c>
      <c r="I14" s="239" t="str">
        <f t="shared" si="24"/>
        <v/>
      </c>
      <c r="J14" s="58" t="str">
        <f>IF($C14="","",VLOOKUP($C14,CTBat!$G$10:$BR$203,J$4,FALSE))</f>
        <v/>
      </c>
      <c r="K14" s="37" t="str">
        <f>IF($C14="","",VLOOKUP($C14,CTBat!$G$10:$BR$203,K$4,FALSE))</f>
        <v/>
      </c>
      <c r="L14" s="38" t="str">
        <f>IF($C14="","",VLOOKUP($C14,CTBat!$G$10:$BR$203,L$4,FALSE))</f>
        <v/>
      </c>
      <c r="M14" s="37" t="str">
        <f>IF($C14="","",VLOOKUP($C14,CTBat!$G$10:$BR$203,M$4,FALSE))</f>
        <v/>
      </c>
      <c r="N14" s="37" t="str">
        <f>IF($C14="","",VLOOKUP($C14,CTBat!$G$10:$BR$203,N$4,FALSE))</f>
        <v/>
      </c>
      <c r="O14" s="37" t="str">
        <f>IF($C14="","",VLOOKUP($C14,CTBat!$G$10:$BR$203,O$4,FALSE))</f>
        <v/>
      </c>
      <c r="P14" s="37" t="str">
        <f>IF($C14="","",VLOOKUP($C14,CTBat!$G$10:$BR$203,P$4,FALSE))</f>
        <v/>
      </c>
      <c r="Q14" s="37" t="str">
        <f>IF($C14="","",VLOOKUP($C14,CTBat!$G$10:$BR$203,Q$4,FALSE))</f>
        <v/>
      </c>
      <c r="R14" s="37" t="str">
        <f>IF($C14="","",VLOOKUP($C14,CTBat!$G$10:$BR$203,R$4,FALSE))</f>
        <v/>
      </c>
      <c r="S14" s="37" t="str">
        <f>IF($C14="","",VLOOKUP($C14,CTBat!$G$10:$BR$203,S$4,FALSE))</f>
        <v/>
      </c>
      <c r="T14" s="38" t="str">
        <f>IF($C14="","",VLOOKUP($C14,CTBat!$G$10:$BR$203,T$4,FALSE))</f>
        <v/>
      </c>
      <c r="U14" s="53" t="str">
        <f t="shared" si="1"/>
        <v/>
      </c>
      <c r="V14" s="239" t="str">
        <f t="shared" si="2"/>
        <v/>
      </c>
      <c r="W14" s="239" t="str">
        <f t="shared" si="6"/>
        <v/>
      </c>
      <c r="X14" s="239" t="str">
        <f t="shared" si="7"/>
        <v/>
      </c>
      <c r="Y14" s="239" t="str">
        <f t="shared" si="8"/>
        <v/>
      </c>
      <c r="Z14" s="239" t="str">
        <f t="shared" si="9"/>
        <v/>
      </c>
      <c r="AA14" s="239" t="str">
        <f t="shared" si="10"/>
        <v/>
      </c>
      <c r="AB14" s="239" t="str">
        <f t="shared" si="11"/>
        <v/>
      </c>
      <c r="AC14" s="240" t="str">
        <f t="shared" si="12"/>
        <v/>
      </c>
      <c r="AD14" s="37" t="str">
        <f>IF($C14="","",VLOOKUP($C14,CTBat!$G$10:$BR$203,AD$4,FALSE))</f>
        <v/>
      </c>
      <c r="AE14" s="37" t="str">
        <f>IF($C14="","",VLOOKUP($C14,CTBat!$G$10:$BR$203,AE$4,FALSE))</f>
        <v/>
      </c>
      <c r="AF14" s="37" t="str">
        <f>IF($C14="","",VLOOKUP($C14,CTBat!$G$10:$BR$203,AF$4,FALSE))</f>
        <v/>
      </c>
      <c r="AG14" s="37" t="str">
        <f>IF($C14="","",VLOOKUP($C14,CTBat!$G$10:$BR$203,AG$4,FALSE))</f>
        <v/>
      </c>
      <c r="AH14" s="37" t="str">
        <f>IF($C14="","",VLOOKUP($C14,CTBat!$G$10:$BR$203,AH$4,FALSE))</f>
        <v/>
      </c>
      <c r="AI14" s="58" t="str">
        <f>IF($C14="","",VLOOKUP($C14,CTBat!$G$10:$BR$203,AI$4,FALSE))</f>
        <v/>
      </c>
      <c r="AJ14" s="38" t="str">
        <f>IF($C14="","",VLOOKUP($C14,CTBat!$G$10:$BR$203,AJ$4,FALSE))</f>
        <v/>
      </c>
      <c r="AK14" s="67" t="str">
        <f t="shared" si="13"/>
        <v/>
      </c>
      <c r="AL14" s="53" t="str">
        <f t="shared" si="14"/>
        <v/>
      </c>
      <c r="AM14" s="239" t="str">
        <f t="shared" si="15"/>
        <v/>
      </c>
      <c r="AN14" s="239" t="str">
        <f t="shared" si="16"/>
        <v/>
      </c>
      <c r="AO14" s="239" t="str">
        <f t="shared" si="17"/>
        <v/>
      </c>
      <c r="AP14" s="239" t="str">
        <f t="shared" si="18"/>
        <v/>
      </c>
      <c r="AQ14" s="239" t="str">
        <f t="shared" si="19"/>
        <v/>
      </c>
      <c r="AR14" s="239" t="str">
        <f t="shared" si="20"/>
        <v/>
      </c>
      <c r="AS14" s="239" t="str">
        <f t="shared" si="21"/>
        <v/>
      </c>
      <c r="AT14" s="240" t="str">
        <f t="shared" si="22"/>
        <v/>
      </c>
      <c r="AU14" s="58" t="str">
        <f>IF($C14="","",VLOOKUP($C14,CTBat!$G$10:$BR$203,AU$4,FALSE))</f>
        <v/>
      </c>
      <c r="AV14" s="37" t="str">
        <f>IF($C14="","",VLOOKUP($C14,CTBat!$G$10:$BR$203,AV$4,FALSE))</f>
        <v/>
      </c>
      <c r="AW14" s="37" t="str">
        <f>IF($C14="","",VLOOKUP($C14,CTBat!$G$10:$BR$203,AW$4,FALSE))</f>
        <v/>
      </c>
      <c r="AX14" s="37" t="str">
        <f>IF($C14="","",VLOOKUP($C14,CTBat!$G$10:$BR$203,AX$4,FALSE))</f>
        <v/>
      </c>
      <c r="AY14" s="38" t="str">
        <f>IF($C14="","",VLOOKUP($C14,CTBat!$G$10:$BR$203,AY$4,FALSE))</f>
        <v/>
      </c>
      <c r="AZ14" s="67" t="str">
        <f t="shared" si="23"/>
        <v/>
      </c>
    </row>
    <row r="15" spans="1:52">
      <c r="A15">
        <v>9</v>
      </c>
      <c r="B15" s="36" t="s">
        <v>101</v>
      </c>
      <c r="C15" s="65"/>
      <c r="D15" s="37" t="str">
        <f>IF($C15="","",VLOOKUP($C15,CTBat!$G$10:$BR$203,D$4,FALSE))</f>
        <v/>
      </c>
      <c r="E15" s="37" t="str">
        <f>IF($C15="","",VLOOKUP($C15,CTBat!$G$10:$BR$203,E$4,FALSE))</f>
        <v/>
      </c>
      <c r="F15" s="53" t="str">
        <f t="shared" ref="F15:F16" si="49">IF($C15="","",IF(AND(N15&gt;0,N15=SUM(M15:T15)),1,0))</f>
        <v/>
      </c>
      <c r="G15" s="275" t="str">
        <f t="shared" ref="G15:G16" si="50">IF($C15="","",IF(AND(OR(N15&gt;0,R15&gt;0),SUM(N15,R15)=SUM(M15:T15)),1,0))</f>
        <v/>
      </c>
      <c r="H15" s="275" t="str">
        <f t="shared" ref="H15:H16" si="51">IF($C15="","",IF(L15&gt;6,1,0))</f>
        <v/>
      </c>
      <c r="I15" s="275" t="str">
        <f t="shared" ref="I15:I16" si="52">IF($C15="","",IF(AND(S15&gt;4,S15&lt;&gt;"-"),1,0))</f>
        <v/>
      </c>
      <c r="J15" s="58" t="str">
        <f>IF($C15="","",VLOOKUP($C15,CTBat!$G$10:$BR$203,J$4,FALSE))</f>
        <v/>
      </c>
      <c r="K15" s="37" t="str">
        <f>IF($C15="","",VLOOKUP($C15,CTBat!$G$10:$BR$203,K$4,FALSE))</f>
        <v/>
      </c>
      <c r="L15" s="38" t="str">
        <f>IF($C15="","",VLOOKUP($C15,CTBat!$G$10:$BR$203,L$4,FALSE))</f>
        <v/>
      </c>
      <c r="M15" s="37" t="str">
        <f>IF($C15="","",VLOOKUP($C15,CTBat!$G$10:$BR$203,M$4,FALSE))</f>
        <v/>
      </c>
      <c r="N15" s="37" t="str">
        <f>IF($C15="","",VLOOKUP($C15,CTBat!$G$10:$BR$203,N$4,FALSE))</f>
        <v/>
      </c>
      <c r="O15" s="37" t="str">
        <f>IF($C15="","",VLOOKUP($C15,CTBat!$G$10:$BR$203,O$4,FALSE))</f>
        <v/>
      </c>
      <c r="P15" s="37" t="str">
        <f>IF($C15="","",VLOOKUP($C15,CTBat!$G$10:$BR$203,P$4,FALSE))</f>
        <v/>
      </c>
      <c r="Q15" s="37" t="str">
        <f>IF($C15="","",VLOOKUP($C15,CTBat!$G$10:$BR$203,Q$4,FALSE))</f>
        <v/>
      </c>
      <c r="R15" s="37" t="str">
        <f>IF($C15="","",VLOOKUP($C15,CTBat!$G$10:$BR$203,R$4,FALSE))</f>
        <v/>
      </c>
      <c r="S15" s="37" t="str">
        <f>IF($C15="","",VLOOKUP($C15,CTBat!$G$10:$BR$203,S$4,FALSE))</f>
        <v/>
      </c>
      <c r="T15" s="38" t="str">
        <f>IF($C15="","",VLOOKUP($C15,CTBat!$G$10:$BR$203,T$4,FALSE))</f>
        <v/>
      </c>
      <c r="U15" s="53" t="str">
        <f t="shared" ref="U15:U16" si="53">IF($C15="","",IF(OR(AD15+AG15&gt;14,AND(OR(AD15+AG15&gt;12,AND(AD15&gt;6,AG15&gt;6)),AI15&gt;6,OR(AJ15&gt;=AI15,AJ15&gt;6))),1,0))</f>
        <v/>
      </c>
      <c r="V15" s="275" t="str">
        <f t="shared" ref="V15:V16" si="54">IF($C15="","",IF(OR(AND(AD15&gt;6,AH15&gt;6),AD15+AG15&gt;12),1,0))</f>
        <v/>
      </c>
      <c r="W15" s="275" t="str">
        <f t="shared" ref="W15:W16" si="55">IF($C15="","",IF(AND(AD15&gt;6,AF15&gt;6,AG15&gt;6),1,0))</f>
        <v/>
      </c>
      <c r="X15" s="275" t="str">
        <f t="shared" ref="X15:X16" si="56">IF($C15="","",IF(AND(AF15&gt;7,OR(AD15&gt;6,AG15&gt;6)),1,0))</f>
        <v/>
      </c>
      <c r="Y15" s="275" t="str">
        <f t="shared" ref="Y15:Y16" si="57">IF($C15="","",IF(AND(AF15&gt;6,OR(AD15&gt;6,AG15&gt;6)),1,0))</f>
        <v/>
      </c>
      <c r="Z15" s="275" t="str">
        <f t="shared" ref="Z15:Z16" si="58">IF($C15="","",IF(AND(OR(AD15&gt;6,AF15&gt;6),OR(AD15&gt;6,AG15&gt;6)),1,0))</f>
        <v/>
      </c>
      <c r="AA15" s="275" t="str">
        <f t="shared" ref="AA15:AA16" si="59">IF($C15="","",IF(AND(AD15&gt;4,OR(AD15&gt;6,AF15&gt;6,AG15&gt;6)),1,0))</f>
        <v/>
      </c>
      <c r="AB15" s="275" t="str">
        <f t="shared" ref="AB15:AB16" si="60">IF($C15="","",IF(AND(AD15&gt;4,OR(AD15&gt;6,AE15&gt;6,AF15&gt;6,AG15&gt;6)),1,0))</f>
        <v/>
      </c>
      <c r="AC15" s="276" t="str">
        <f t="shared" ref="AC15:AC16" si="61">IF($C15="","",IF(AND(AD15&gt;4,MAX(AD15:AH15)&gt;6),1,0))</f>
        <v/>
      </c>
      <c r="AD15" s="37" t="str">
        <f>IF($C15="","",VLOOKUP($C15,CTBat!$G$10:$BR$203,AD$4,FALSE))</f>
        <v/>
      </c>
      <c r="AE15" s="37" t="str">
        <f>IF($C15="","",VLOOKUP($C15,CTBat!$G$10:$BR$203,AE$4,FALSE))</f>
        <v/>
      </c>
      <c r="AF15" s="37" t="str">
        <f>IF($C15="","",VLOOKUP($C15,CTBat!$G$10:$BR$203,AF$4,FALSE))</f>
        <v/>
      </c>
      <c r="AG15" s="37" t="str">
        <f>IF($C15="","",VLOOKUP($C15,CTBat!$G$10:$BR$203,AG$4,FALSE))</f>
        <v/>
      </c>
      <c r="AH15" s="37" t="str">
        <f>IF($C15="","",VLOOKUP($C15,CTBat!$G$10:$BR$203,AH$4,FALSE))</f>
        <v/>
      </c>
      <c r="AI15" s="58" t="str">
        <f>IF($C15="","",VLOOKUP($C15,CTBat!$G$10:$BR$203,AI$4,FALSE))</f>
        <v/>
      </c>
      <c r="AJ15" s="38" t="str">
        <f>IF($C15="","",VLOOKUP($C15,CTBat!$G$10:$BR$203,AJ$4,FALSE))</f>
        <v/>
      </c>
      <c r="AK15" s="67" t="str">
        <f t="shared" ref="AK15:AK16" si="62">IF($C15="","",(5*AD15+4*AF15+3*AG15+2*AE15+1*AH15+0.5*(AVERAGE(AD15:AE15))+0.5*AVERAGE(AD15,AH15)+1*(AVERAGE(AD15,AF15))+1*AVERAGE(AD15,AG15))/(5+4+3+2+1+0.5+0.5+1+1))</f>
        <v/>
      </c>
      <c r="AL15" s="53" t="str">
        <f t="shared" ref="AL15:AL16" si="63">IF($C15="","",IF(AND(OR(AU15+AX15&gt;12,AND(AU15&gt;6,AX15&gt;6)),AI15&gt;6,OR(AJ15&gt;=AI15,AJ15&gt;6)),1,0))</f>
        <v/>
      </c>
      <c r="AM15" s="275" t="str">
        <f t="shared" ref="AM15:AM16" si="64">IF($C15="","",IF(OR(AND(AU15&gt;6,AY15&gt;6),AU15+AX15&gt;12),1,0))</f>
        <v/>
      </c>
      <c r="AN15" s="275" t="str">
        <f t="shared" ref="AN15:AN16" si="65">IF($C15="","",IF(AND(AU15&gt;6,AW15&gt;6,AX15&gt;6),1,0))</f>
        <v/>
      </c>
      <c r="AO15" s="275" t="str">
        <f t="shared" ref="AO15:AO16" si="66">IF($C15="","",IF(AND(AW15&gt;7,OR(AU15&gt;6,AX15&gt;6)),1,0))</f>
        <v/>
      </c>
      <c r="AP15" s="275" t="str">
        <f t="shared" ref="AP15:AP16" si="67">IF($C15="","",IF(AND(AW15&gt;6,OR(AU15&gt;6,AX15&gt;6)),1,0))</f>
        <v/>
      </c>
      <c r="AQ15" s="275" t="str">
        <f t="shared" ref="AQ15:AQ16" si="68">IF($C15="","",IF(AND(OR(AU15&gt;6,AW15&gt;6),OR(AU15&gt;6,AX15&gt;6)),1,0))</f>
        <v/>
      </c>
      <c r="AR15" s="275" t="str">
        <f t="shared" ref="AR15:AR16" si="69">IF($C15="","",IF(AND(AU15&gt;4,OR(AU15&gt;6,AW15&gt;6,AX15&gt;6)),1,0))</f>
        <v/>
      </c>
      <c r="AS15" s="275" t="str">
        <f t="shared" ref="AS15:AS16" si="70">IF($C15="","",IF(AND(AU15&gt;4,OR(AU15&gt;6,AV15&gt;6,AW15&gt;6,AX15&gt;6)),1,0))</f>
        <v/>
      </c>
      <c r="AT15" s="276" t="str">
        <f t="shared" ref="AT15:AT16" si="71">IF($C15="","",IF(AND(AU15&gt;4,MAX(AU15:AY15)&gt;6),1,0))</f>
        <v/>
      </c>
      <c r="AU15" s="58" t="str">
        <f>IF($C15="","",VLOOKUP($C15,CTBat!$G$10:$BR$203,AU$4,FALSE))</f>
        <v/>
      </c>
      <c r="AV15" s="37" t="str">
        <f>IF($C15="","",VLOOKUP($C15,CTBat!$G$10:$BR$203,AV$4,FALSE))</f>
        <v/>
      </c>
      <c r="AW15" s="37" t="str">
        <f>IF($C15="","",VLOOKUP($C15,CTBat!$G$10:$BR$203,AW$4,FALSE))</f>
        <v/>
      </c>
      <c r="AX15" s="37" t="str">
        <f>IF($C15="","",VLOOKUP($C15,CTBat!$G$10:$BR$203,AX$4,FALSE))</f>
        <v/>
      </c>
      <c r="AY15" s="38" t="str">
        <f>IF($C15="","",VLOOKUP($C15,CTBat!$G$10:$BR$203,AY$4,FALSE))</f>
        <v/>
      </c>
      <c r="AZ15" s="67" t="str">
        <f t="shared" ref="AZ15:AZ16" si="72">IF($C15="","",(5*AU15+4*AW15+3*AX15+2*AV15+1*AY15+0.5*(AVERAGE(AU15:AV15))+0.5*AVERAGE(AU15,AY15)+1*(AVERAGE(AU15,AW15))+1*AVERAGE(AU15,AX15))/(5+4+3+2+1+0.5+0.5+1+1))</f>
        <v/>
      </c>
    </row>
    <row r="16" spans="1:52">
      <c r="A16">
        <v>9</v>
      </c>
      <c r="B16" s="36" t="s">
        <v>101</v>
      </c>
      <c r="C16" s="65"/>
      <c r="D16" s="37" t="str">
        <f>IF($C16="","",VLOOKUP($C16,CTBat!$G$10:$BR$203,D$4,FALSE))</f>
        <v/>
      </c>
      <c r="E16" s="37" t="str">
        <f>IF($C16="","",VLOOKUP($C16,CTBat!$G$10:$BR$203,E$4,FALSE))</f>
        <v/>
      </c>
      <c r="F16" s="53" t="str">
        <f t="shared" si="49"/>
        <v/>
      </c>
      <c r="G16" s="275" t="str">
        <f t="shared" si="50"/>
        <v/>
      </c>
      <c r="H16" s="275" t="str">
        <f t="shared" si="51"/>
        <v/>
      </c>
      <c r="I16" s="275" t="str">
        <f t="shared" si="52"/>
        <v/>
      </c>
      <c r="J16" s="58" t="str">
        <f>IF($C16="","",VLOOKUP($C16,CTBat!$G$10:$BR$203,J$4,FALSE))</f>
        <v/>
      </c>
      <c r="K16" s="37" t="str">
        <f>IF($C16="","",VLOOKUP($C16,CTBat!$G$10:$BR$203,K$4,FALSE))</f>
        <v/>
      </c>
      <c r="L16" s="38" t="str">
        <f>IF($C16="","",VLOOKUP($C16,CTBat!$G$10:$BR$203,L$4,FALSE))</f>
        <v/>
      </c>
      <c r="M16" s="37" t="str">
        <f>IF($C16="","",VLOOKUP($C16,CTBat!$G$10:$BR$203,M$4,FALSE))</f>
        <v/>
      </c>
      <c r="N16" s="37" t="str">
        <f>IF($C16="","",VLOOKUP($C16,CTBat!$G$10:$BR$203,N$4,FALSE))</f>
        <v/>
      </c>
      <c r="O16" s="37" t="str">
        <f>IF($C16="","",VLOOKUP($C16,CTBat!$G$10:$BR$203,O$4,FALSE))</f>
        <v/>
      </c>
      <c r="P16" s="37" t="str">
        <f>IF($C16="","",VLOOKUP($C16,CTBat!$G$10:$BR$203,P$4,FALSE))</f>
        <v/>
      </c>
      <c r="Q16" s="37" t="str">
        <f>IF($C16="","",VLOOKUP($C16,CTBat!$G$10:$BR$203,Q$4,FALSE))</f>
        <v/>
      </c>
      <c r="R16" s="37" t="str">
        <f>IF($C16="","",VLOOKUP($C16,CTBat!$G$10:$BR$203,R$4,FALSE))</f>
        <v/>
      </c>
      <c r="S16" s="37" t="str">
        <f>IF($C16="","",VLOOKUP($C16,CTBat!$G$10:$BR$203,S$4,FALSE))</f>
        <v/>
      </c>
      <c r="T16" s="38" t="str">
        <f>IF($C16="","",VLOOKUP($C16,CTBat!$G$10:$BR$203,T$4,FALSE))</f>
        <v/>
      </c>
      <c r="U16" s="53" t="str">
        <f t="shared" si="53"/>
        <v/>
      </c>
      <c r="V16" s="275" t="str">
        <f t="shared" si="54"/>
        <v/>
      </c>
      <c r="W16" s="275" t="str">
        <f t="shared" si="55"/>
        <v/>
      </c>
      <c r="X16" s="275" t="str">
        <f t="shared" si="56"/>
        <v/>
      </c>
      <c r="Y16" s="275" t="str">
        <f t="shared" si="57"/>
        <v/>
      </c>
      <c r="Z16" s="275" t="str">
        <f t="shared" si="58"/>
        <v/>
      </c>
      <c r="AA16" s="275" t="str">
        <f t="shared" si="59"/>
        <v/>
      </c>
      <c r="AB16" s="275" t="str">
        <f t="shared" si="60"/>
        <v/>
      </c>
      <c r="AC16" s="276" t="str">
        <f t="shared" si="61"/>
        <v/>
      </c>
      <c r="AD16" s="37" t="str">
        <f>IF($C16="","",VLOOKUP($C16,CTBat!$G$10:$BR$203,AD$4,FALSE))</f>
        <v/>
      </c>
      <c r="AE16" s="37" t="str">
        <f>IF($C16="","",VLOOKUP($C16,CTBat!$G$10:$BR$203,AE$4,FALSE))</f>
        <v/>
      </c>
      <c r="AF16" s="37" t="str">
        <f>IF($C16="","",VLOOKUP($C16,CTBat!$G$10:$BR$203,AF$4,FALSE))</f>
        <v/>
      </c>
      <c r="AG16" s="37" t="str">
        <f>IF($C16="","",VLOOKUP($C16,CTBat!$G$10:$BR$203,AG$4,FALSE))</f>
        <v/>
      </c>
      <c r="AH16" s="37" t="str">
        <f>IF($C16="","",VLOOKUP($C16,CTBat!$G$10:$BR$203,AH$4,FALSE))</f>
        <v/>
      </c>
      <c r="AI16" s="58" t="str">
        <f>IF($C16="","",VLOOKUP($C16,CTBat!$G$10:$BR$203,AI$4,FALSE))</f>
        <v/>
      </c>
      <c r="AJ16" s="38" t="str">
        <f>IF($C16="","",VLOOKUP($C16,CTBat!$G$10:$BR$203,AJ$4,FALSE))</f>
        <v/>
      </c>
      <c r="AK16" s="67" t="str">
        <f t="shared" si="62"/>
        <v/>
      </c>
      <c r="AL16" s="53" t="str">
        <f t="shared" si="63"/>
        <v/>
      </c>
      <c r="AM16" s="275" t="str">
        <f t="shared" si="64"/>
        <v/>
      </c>
      <c r="AN16" s="275" t="str">
        <f t="shared" si="65"/>
        <v/>
      </c>
      <c r="AO16" s="275" t="str">
        <f t="shared" si="66"/>
        <v/>
      </c>
      <c r="AP16" s="275" t="str">
        <f t="shared" si="67"/>
        <v/>
      </c>
      <c r="AQ16" s="275" t="str">
        <f t="shared" si="68"/>
        <v/>
      </c>
      <c r="AR16" s="275" t="str">
        <f t="shared" si="69"/>
        <v/>
      </c>
      <c r="AS16" s="275" t="str">
        <f t="shared" si="70"/>
        <v/>
      </c>
      <c r="AT16" s="276" t="str">
        <f t="shared" si="71"/>
        <v/>
      </c>
      <c r="AU16" s="58" t="str">
        <f>IF($C16="","",VLOOKUP($C16,CTBat!$G$10:$BR$203,AU$4,FALSE))</f>
        <v/>
      </c>
      <c r="AV16" s="37" t="str">
        <f>IF($C16="","",VLOOKUP($C16,CTBat!$G$10:$BR$203,AV$4,FALSE))</f>
        <v/>
      </c>
      <c r="AW16" s="37" t="str">
        <f>IF($C16="","",VLOOKUP($C16,CTBat!$G$10:$BR$203,AW$4,FALSE))</f>
        <v/>
      </c>
      <c r="AX16" s="37" t="str">
        <f>IF($C16="","",VLOOKUP($C16,CTBat!$G$10:$BR$203,AX$4,FALSE))</f>
        <v/>
      </c>
      <c r="AY16" s="38" t="str">
        <f>IF($C16="","",VLOOKUP($C16,CTBat!$G$10:$BR$203,AY$4,FALSE))</f>
        <v/>
      </c>
      <c r="AZ16" s="67" t="str">
        <f t="shared" si="72"/>
        <v/>
      </c>
    </row>
    <row r="17" spans="1:52">
      <c r="A17">
        <v>10</v>
      </c>
      <c r="B17" s="39" t="s">
        <v>101</v>
      </c>
      <c r="C17" s="40"/>
      <c r="D17" s="40" t="str">
        <f>IF($C17="","",VLOOKUP($C17,CTBat!$G$10:$BR$203,D$4,FALSE))</f>
        <v/>
      </c>
      <c r="E17" s="40" t="str">
        <f>IF($C17="","",VLOOKUP($C17,CTBat!$G$10:$BR$203,E$4,FALSE))</f>
        <v/>
      </c>
      <c r="F17" s="54" t="str">
        <f t="shared" si="3"/>
        <v/>
      </c>
      <c r="G17" s="237" t="str">
        <f t="shared" si="4"/>
        <v/>
      </c>
      <c r="H17" s="237" t="str">
        <f t="shared" si="5"/>
        <v/>
      </c>
      <c r="I17" s="237" t="str">
        <f t="shared" si="24"/>
        <v/>
      </c>
      <c r="J17" s="59" t="str">
        <f>IF($C17="","",VLOOKUP($C17,CTBat!$G$10:$BR$203,J$4,FALSE))</f>
        <v/>
      </c>
      <c r="K17" s="40" t="str">
        <f>IF($C17="","",VLOOKUP($C17,CTBat!$G$10:$BR$203,K$4,FALSE))</f>
        <v/>
      </c>
      <c r="L17" s="42" t="str">
        <f>IF($C17="","",VLOOKUP($C17,CTBat!$G$10:$BR$203,L$4,FALSE))</f>
        <v/>
      </c>
      <c r="M17" s="40" t="str">
        <f>IF($C17="","",VLOOKUP($C17,CTBat!$G$10:$BR$203,M$4,FALSE))</f>
        <v/>
      </c>
      <c r="N17" s="40" t="str">
        <f>IF($C17="","",VLOOKUP($C17,CTBat!$G$10:$BR$203,N$4,FALSE))</f>
        <v/>
      </c>
      <c r="O17" s="40" t="str">
        <f>IF($C17="","",VLOOKUP($C17,CTBat!$G$10:$BR$203,O$4,FALSE))</f>
        <v/>
      </c>
      <c r="P17" s="40" t="str">
        <f>IF($C17="","",VLOOKUP($C17,CTBat!$G$10:$BR$203,P$4,FALSE))</f>
        <v/>
      </c>
      <c r="Q17" s="40" t="str">
        <f>IF($C17="","",VLOOKUP($C17,CTBat!$G$10:$BR$203,Q$4,FALSE))</f>
        <v/>
      </c>
      <c r="R17" s="40" t="str">
        <f>IF($C17="","",VLOOKUP($C17,CTBat!$G$10:$BR$203,R$4,FALSE))</f>
        <v/>
      </c>
      <c r="S17" s="40" t="str">
        <f>IF($C17="","",VLOOKUP($C17,CTBat!$G$10:$BR$203,S$4,FALSE))</f>
        <v/>
      </c>
      <c r="T17" s="42" t="str">
        <f>IF($C17="","",VLOOKUP($C17,CTBat!$G$10:$BR$203,T$4,FALSE))</f>
        <v/>
      </c>
      <c r="U17" s="54" t="str">
        <f t="shared" si="1"/>
        <v/>
      </c>
      <c r="V17" s="237" t="str">
        <f t="shared" si="2"/>
        <v/>
      </c>
      <c r="W17" s="237" t="str">
        <f t="shared" si="6"/>
        <v/>
      </c>
      <c r="X17" s="237" t="str">
        <f t="shared" si="7"/>
        <v/>
      </c>
      <c r="Y17" s="237" t="str">
        <f t="shared" si="8"/>
        <v/>
      </c>
      <c r="Z17" s="237" t="str">
        <f t="shared" si="9"/>
        <v/>
      </c>
      <c r="AA17" s="237" t="str">
        <f t="shared" si="10"/>
        <v/>
      </c>
      <c r="AB17" s="237" t="str">
        <f t="shared" si="11"/>
        <v/>
      </c>
      <c r="AC17" s="238" t="str">
        <f t="shared" si="12"/>
        <v/>
      </c>
      <c r="AD17" s="40" t="str">
        <f>IF($C17="","",VLOOKUP($C17,CTBat!$G$10:$BR$203,AD$4,FALSE))</f>
        <v/>
      </c>
      <c r="AE17" s="40" t="str">
        <f>IF($C17="","",VLOOKUP($C17,CTBat!$G$10:$BR$203,AE$4,FALSE))</f>
        <v/>
      </c>
      <c r="AF17" s="40" t="str">
        <f>IF($C17="","",VLOOKUP($C17,CTBat!$G$10:$BR$203,AF$4,FALSE))</f>
        <v/>
      </c>
      <c r="AG17" s="40" t="str">
        <f>IF($C17="","",VLOOKUP($C17,CTBat!$G$10:$BR$203,AG$4,FALSE))</f>
        <v/>
      </c>
      <c r="AH17" s="40" t="str">
        <f>IF($C17="","",VLOOKUP($C17,CTBat!$G$10:$BR$203,AH$4,FALSE))</f>
        <v/>
      </c>
      <c r="AI17" s="59" t="str">
        <f>IF($C17="","",VLOOKUP($C17,CTBat!$G$10:$BR$203,AI$4,FALSE))</f>
        <v/>
      </c>
      <c r="AJ17" s="42" t="str">
        <f>IF($C17="","",VLOOKUP($C17,CTBat!$G$10:$BR$203,AJ$4,FALSE))</f>
        <v/>
      </c>
      <c r="AK17" s="68" t="str">
        <f t="shared" si="13"/>
        <v/>
      </c>
      <c r="AL17" s="54" t="str">
        <f t="shared" si="14"/>
        <v/>
      </c>
      <c r="AM17" s="237" t="str">
        <f t="shared" si="15"/>
        <v/>
      </c>
      <c r="AN17" s="237" t="str">
        <f t="shared" si="16"/>
        <v/>
      </c>
      <c r="AO17" s="237" t="str">
        <f t="shared" si="17"/>
        <v/>
      </c>
      <c r="AP17" s="237" t="str">
        <f t="shared" si="18"/>
        <v/>
      </c>
      <c r="AQ17" s="237" t="str">
        <f t="shared" si="19"/>
        <v/>
      </c>
      <c r="AR17" s="237" t="str">
        <f t="shared" si="20"/>
        <v/>
      </c>
      <c r="AS17" s="237" t="str">
        <f t="shared" si="21"/>
        <v/>
      </c>
      <c r="AT17" s="238" t="str">
        <f t="shared" si="22"/>
        <v/>
      </c>
      <c r="AU17" s="59" t="str">
        <f>IF($C17="","",VLOOKUP($C17,CTBat!$G$10:$BR$203,AU$4,FALSE))</f>
        <v/>
      </c>
      <c r="AV17" s="40" t="str">
        <f>IF($C17="","",VLOOKUP($C17,CTBat!$G$10:$BR$203,AV$4,FALSE))</f>
        <v/>
      </c>
      <c r="AW17" s="40" t="str">
        <f>IF($C17="","",VLOOKUP($C17,CTBat!$G$10:$BR$203,AW$4,FALSE))</f>
        <v/>
      </c>
      <c r="AX17" s="40" t="str">
        <f>IF($C17="","",VLOOKUP($C17,CTBat!$G$10:$BR$203,AX$4,FALSE))</f>
        <v/>
      </c>
      <c r="AY17" s="42" t="str">
        <f>IF($C17="","",VLOOKUP($C17,CTBat!$G$10:$BR$203,AY$4,FALSE))</f>
        <v/>
      </c>
      <c r="AZ17" s="68" t="str">
        <f t="shared" si="23"/>
        <v/>
      </c>
    </row>
    <row r="19" spans="1:52" s="24" customFormat="1" ht="196.5">
      <c r="A19" s="25" t="s">
        <v>193</v>
      </c>
      <c r="B19" s="234" t="s">
        <v>125</v>
      </c>
      <c r="C19" s="44" t="str">
        <f>"Player ("&amp;COUNTA(C20:C27)&amp;")"</f>
        <v>Player (0)</v>
      </c>
      <c r="D19" s="44" t="s">
        <v>91</v>
      </c>
      <c r="E19" s="44" t="s">
        <v>101</v>
      </c>
      <c r="F19" s="51" t="str">
        <f>"Only 1 guy who only plays 2B ("&amp;SUM(F20:F27)&amp;")"</f>
        <v>Only 1 guy who only plays 2B (0)</v>
      </c>
      <c r="G19" s="46" t="str">
        <f>"2 Guys Who Play SS ("&amp;SUM(G20:G27)&amp;")"</f>
        <v>2 Guys Who Play SS (0)</v>
      </c>
      <c r="H19" s="46" t="str">
        <f>"2 guys with 3B arm ("&amp;SUM(H20:H27)&amp;")"</f>
        <v>2 guys with 3B arm (0)</v>
      </c>
      <c r="I19" s="49" t="s">
        <v>41</v>
      </c>
      <c r="J19" s="47" t="s">
        <v>136</v>
      </c>
      <c r="K19" s="47" t="s">
        <v>134</v>
      </c>
      <c r="L19" s="47" t="s">
        <v>135</v>
      </c>
      <c r="M19" s="63" t="s">
        <v>92</v>
      </c>
      <c r="N19" s="48" t="s">
        <v>94</v>
      </c>
      <c r="O19" s="48" t="s">
        <v>95</v>
      </c>
      <c r="P19" s="48" t="s">
        <v>96</v>
      </c>
      <c r="Q19" s="48" t="s">
        <v>97</v>
      </c>
      <c r="R19" s="48" t="s">
        <v>98</v>
      </c>
      <c r="S19" s="48" t="s">
        <v>99</v>
      </c>
      <c r="T19" s="49" t="s">
        <v>100</v>
      </c>
      <c r="U19" s="45" t="s">
        <v>137</v>
      </c>
      <c r="V19" s="45" t="s">
        <v>181</v>
      </c>
      <c r="W19" s="45" t="s">
        <v>138</v>
      </c>
      <c r="X19" s="45" t="s">
        <v>139</v>
      </c>
      <c r="Y19" s="45" t="s">
        <v>140</v>
      </c>
      <c r="Z19" s="45" t="s">
        <v>141</v>
      </c>
      <c r="AA19" s="45" t="s">
        <v>142</v>
      </c>
      <c r="AB19" s="45" t="s">
        <v>144</v>
      </c>
      <c r="AC19" s="45" t="s">
        <v>143</v>
      </c>
      <c r="AD19" s="63" t="s">
        <v>147</v>
      </c>
      <c r="AE19" s="48" t="s">
        <v>148</v>
      </c>
      <c r="AF19" s="48" t="s">
        <v>149</v>
      </c>
      <c r="AG19" s="48" t="s">
        <v>150</v>
      </c>
      <c r="AH19" s="48" t="s">
        <v>29</v>
      </c>
      <c r="AI19" s="48" t="s">
        <v>151</v>
      </c>
      <c r="AJ19" s="49" t="s">
        <v>152</v>
      </c>
      <c r="AK19" s="66" t="s">
        <v>157</v>
      </c>
      <c r="AL19" s="45" t="s">
        <v>137</v>
      </c>
      <c r="AM19" s="45" t="s">
        <v>181</v>
      </c>
      <c r="AN19" s="45" t="s">
        <v>138</v>
      </c>
      <c r="AO19" s="45" t="s">
        <v>139</v>
      </c>
      <c r="AP19" s="45" t="s">
        <v>140</v>
      </c>
      <c r="AQ19" s="45" t="s">
        <v>141</v>
      </c>
      <c r="AR19" s="45" t="s">
        <v>142</v>
      </c>
      <c r="AS19" s="45" t="s">
        <v>144</v>
      </c>
      <c r="AT19" s="45" t="s">
        <v>143</v>
      </c>
      <c r="AU19" s="63" t="s">
        <v>147</v>
      </c>
      <c r="AV19" s="48" t="s">
        <v>148</v>
      </c>
      <c r="AW19" s="48" t="s">
        <v>149</v>
      </c>
      <c r="AX19" s="48" t="s">
        <v>150</v>
      </c>
      <c r="AY19" s="49" t="s">
        <v>29</v>
      </c>
      <c r="AZ19" s="66" t="s">
        <v>197</v>
      </c>
    </row>
    <row r="20" spans="1:52">
      <c r="A20">
        <v>1</v>
      </c>
      <c r="B20" s="36" t="s">
        <v>95</v>
      </c>
      <c r="C20" s="37"/>
      <c r="D20" s="37" t="str">
        <f>IF($C20="","",VLOOKUP($C20,CTBat!$G$10:$BR$203,D$4,FALSE))</f>
        <v/>
      </c>
      <c r="E20" s="33" t="str">
        <f>IF($C20="","",VLOOKUP($C20,CTBat!$G$10:$BR$203,E$4,FALSE))</f>
        <v/>
      </c>
      <c r="F20" s="53" t="str">
        <f>IF($C20="","",IF(AND(O20&gt;0,O20=SUM(M20:T20)),1,0))</f>
        <v/>
      </c>
      <c r="G20" s="239" t="str">
        <f t="shared" ref="G20:G26" si="73">IF($C20="","",IF(Q20&lt;&gt;"-",1,0))</f>
        <v/>
      </c>
      <c r="H20" s="239" t="str">
        <f>IF($C20="","",IF(AND(K20&gt;5,P20&lt;&gt;"-"),1,0))</f>
        <v/>
      </c>
      <c r="I20" s="240" t="str">
        <f>IF($C20="","","-")</f>
        <v/>
      </c>
      <c r="J20" s="37" t="str">
        <f>IF($C20="","",VLOOKUP($C20,CTBat!$G$10:$BR$203,J$4,FALSE))</f>
        <v/>
      </c>
      <c r="K20" s="37" t="str">
        <f>IF($C20="","",VLOOKUP($C20,CTBat!$G$10:$BR$203,K$4,FALSE))</f>
        <v/>
      </c>
      <c r="L20" s="37" t="str">
        <f>IF($C20="","",VLOOKUP($C20,CTBat!$G$10:$BR$203,L$4,FALSE))</f>
        <v/>
      </c>
      <c r="M20" s="58" t="str">
        <f>IF($C20="","",VLOOKUP($C20,CTBat!$G$10:$BR$203,M$4,FALSE))</f>
        <v/>
      </c>
      <c r="N20" s="37" t="str">
        <f>IF($C20="","",VLOOKUP($C20,CTBat!$G$10:$BR$203,N$4,FALSE))</f>
        <v/>
      </c>
      <c r="O20" s="37" t="str">
        <f>IF($C20="","",VLOOKUP($C20,CTBat!$G$10:$BR$203,O$4,FALSE))</f>
        <v/>
      </c>
      <c r="P20" s="37" t="str">
        <f>IF($C20="","",VLOOKUP($C20,CTBat!$G$10:$BR$203,P$4,FALSE))</f>
        <v/>
      </c>
      <c r="Q20" s="37" t="str">
        <f>IF($C20="","",VLOOKUP($C20,CTBat!$G$10:$BR$203,Q$4,FALSE))</f>
        <v/>
      </c>
      <c r="R20" s="37" t="str">
        <f>IF($C20="","",VLOOKUP($C20,CTBat!$G$10:$BR$203,R$4,FALSE))</f>
        <v/>
      </c>
      <c r="S20" s="37" t="str">
        <f>IF($C20="","",VLOOKUP($C20,CTBat!$G$10:$BR$203,S$4,FALSE))</f>
        <v/>
      </c>
      <c r="T20" s="38" t="str">
        <f>IF($C20="","",VLOOKUP($C20,CTBat!$G$10:$BR$203,T$4,FALSE))</f>
        <v/>
      </c>
      <c r="U20" s="239" t="str">
        <f t="shared" ref="U20:U21" si="74">IF($C20="","",IF(OR(AD20+AG20&gt;14,AND(OR(AD20+AG20&gt;12,AND(AD20&gt;6,AG20&gt;6)),AI20&gt;6,OR(AJ20&gt;=AI20,AJ20&gt;6))),1,0))</f>
        <v/>
      </c>
      <c r="V20" s="239" t="str">
        <f t="shared" ref="V20:V27" si="75">IF($C20="","",IF(OR(AND(AD20&gt;6,AH20&gt;6),AD20+AG20&gt;12),1,0))</f>
        <v/>
      </c>
      <c r="W20" s="239" t="str">
        <f>IF($C20="","",IF(AND(AD20&gt;6,AF20&gt;6,AG20&gt;6),1,0))</f>
        <v/>
      </c>
      <c r="X20" s="239" t="str">
        <f t="shared" ref="X20:X27" si="76">IF($C20="","",IF(AND(AF20&gt;7,OR(AD20&gt;6,AG20&gt;6)),1,0))</f>
        <v/>
      </c>
      <c r="Y20" s="239" t="str">
        <f t="shared" ref="Y20:Y27" si="77">IF($C20="","",IF(AND(AF20&gt;6,OR(AD20&gt;6,AG20&gt;6)),1,0))</f>
        <v/>
      </c>
      <c r="Z20" s="239" t="str">
        <f t="shared" ref="Z20:Z27" si="78">IF($C20="","",IF(AND(OR(AD20&gt;6,AF20&gt;6),OR(AD20&gt;6,AG20&gt;6)),1,0))</f>
        <v/>
      </c>
      <c r="AA20" s="239" t="str">
        <f t="shared" ref="AA20:AA27" si="79">IF($C20="","",IF(AND(AD20&gt;4,OR(AD20&gt;6,AF20&gt;6,AG20&gt;6)),1,0))</f>
        <v/>
      </c>
      <c r="AB20" s="239" t="str">
        <f t="shared" ref="AB20:AB27" si="80">IF($C20="","",IF(AND(AD20&gt;4,OR(AD20&gt;6,AE20&gt;6,AF20&gt;6,AG20&gt;6)),1,0))</f>
        <v/>
      </c>
      <c r="AC20" s="239" t="str">
        <f t="shared" ref="AC20:AC27" si="81">IF($C20="","",IF(AND(AD20&gt;4,MAX(AD20:AH20)&gt;6),1,0))</f>
        <v/>
      </c>
      <c r="AD20" s="58" t="str">
        <f>IF($C20="","",VLOOKUP($C20,CTBat!$G$10:$BR$203,AD$4,FALSE))</f>
        <v/>
      </c>
      <c r="AE20" s="37" t="str">
        <f>IF($C20="","",VLOOKUP($C20,CTBat!$G$10:$BR$203,AE$4,FALSE))</f>
        <v/>
      </c>
      <c r="AF20" s="37" t="str">
        <f>IF($C20="","",VLOOKUP($C20,CTBat!$G$10:$BR$203,AF$4,FALSE))</f>
        <v/>
      </c>
      <c r="AG20" s="37" t="str">
        <f>IF($C20="","",VLOOKUP($C20,CTBat!$G$10:$BR$203,AG$4,FALSE))</f>
        <v/>
      </c>
      <c r="AH20" s="37" t="str">
        <f>IF($C20="","",VLOOKUP($C20,CTBat!$G$10:$BR$203,AH$4,FALSE))</f>
        <v/>
      </c>
      <c r="AI20" s="37" t="str">
        <f>IF($C20="","",VLOOKUP($C20,CTBat!$G$10:$BR$203,AI$4,FALSE))</f>
        <v/>
      </c>
      <c r="AJ20" s="38" t="str">
        <f>IF($C20="","",VLOOKUP($C20,CTBat!$G$10:$BR$203,AJ$4,FALSE))</f>
        <v/>
      </c>
      <c r="AK20" s="67" t="str">
        <f>IF($C20="","",(5*AD20+4*AF20+3*AG20+2*AE20+1*AH20+0.5*(AVERAGE(AD20:AE20))+0.5*AVERAGE(AD20,AH20)+1*(AVERAGE(AD20,AF20))+1*AVERAGE(AD20,AG20))/(5+4+3+2+1+0.5+0.5+1+1))</f>
        <v/>
      </c>
      <c r="AL20" s="239" t="str">
        <f t="shared" ref="AL20:AL27" si="82">IF($C20="","",IF(AND(OR(AU20+AX20&gt;12,AND(AU20&gt;6,AX20&gt;6)),AI20&gt;6,OR(AJ20&gt;=AI20,AJ20&gt;6)),1,0))</f>
        <v/>
      </c>
      <c r="AM20" s="239" t="str">
        <f t="shared" ref="AM20:AM27" si="83">IF($C20="","",IF(OR(AND(AU20&gt;6,AY20&gt;6),AU20+AX20&gt;12),1,0))</f>
        <v/>
      </c>
      <c r="AN20" s="239" t="str">
        <f t="shared" ref="AN20:AN27" si="84">IF($C20="","",IF(AND(AU20&gt;6,AW20&gt;6,AX20&gt;6),1,0))</f>
        <v/>
      </c>
      <c r="AO20" s="239" t="str">
        <f t="shared" ref="AO20:AO27" si="85">IF($C20="","",IF(AND(AW20&gt;7,OR(AU20&gt;6,AX20&gt;6)),1,0))</f>
        <v/>
      </c>
      <c r="AP20" s="239" t="str">
        <f t="shared" ref="AP20:AP27" si="86">IF($C20="","",IF(AND(AW20&gt;6,OR(AU20&gt;6,AX20&gt;6)),1,0))</f>
        <v/>
      </c>
      <c r="AQ20" s="239" t="str">
        <f t="shared" ref="AQ20:AQ27" si="87">IF($C20="","",IF(AND(OR(AU20&gt;6,AW20&gt;6),OR(AU20&gt;6,AX20&gt;6)),1,0))</f>
        <v/>
      </c>
      <c r="AR20" s="239" t="str">
        <f t="shared" ref="AR20:AR27" si="88">IF($C20="","",IF(AND(AU20&gt;4,OR(AU20&gt;6,AW20&gt;6,AX20&gt;6)),1,0))</f>
        <v/>
      </c>
      <c r="AS20" s="239" t="str">
        <f t="shared" ref="AS20:AS27" si="89">IF($C20="","",IF(AND(AU20&gt;4,OR(AU20&gt;6,AV20&gt;6,AW20&gt;6,AX20&gt;6)),1,0))</f>
        <v/>
      </c>
      <c r="AT20" s="239" t="str">
        <f t="shared" ref="AT20:AT27" si="90">IF($C20="","",IF(AND(AU20&gt;4,MAX(AU20:AY20)&gt;6),1,0))</f>
        <v/>
      </c>
      <c r="AU20" s="58" t="str">
        <f>IF($C20="","",VLOOKUP($C20,CTBat!$G$10:$BR$203,AU$4,FALSE))</f>
        <v/>
      </c>
      <c r="AV20" s="37" t="str">
        <f>IF($C20="","",VLOOKUP($C20,CTBat!$G$10:$BR$203,AV$4,FALSE))</f>
        <v/>
      </c>
      <c r="AW20" s="37" t="str">
        <f>IF($C20="","",VLOOKUP($C20,CTBat!$G$10:$BR$203,AW$4,FALSE))</f>
        <v/>
      </c>
      <c r="AX20" s="37" t="str">
        <f>IF($C20="","",VLOOKUP($C20,CTBat!$G$10:$BR$203,AX$4,FALSE))</f>
        <v/>
      </c>
      <c r="AY20" s="38" t="str">
        <f>IF($C20="","",VLOOKUP($C20,CTBat!$G$10:$BR$203,AY$4,FALSE))</f>
        <v/>
      </c>
      <c r="AZ20" s="67" t="str">
        <f t="shared" ref="AZ20:AZ27" si="91">IF($C20="","",(5*AU20+4*AW20+3*AX20+2*AV20+1*AY20+0.5*(AVERAGE(AU20:AV20))+0.5*AVERAGE(AU20,AY20)+1*(AVERAGE(AU20,AW20))+1*AVERAGE(AU20,AX20))/(5+4+3+2+1+0.5+0.5+1+1))</f>
        <v/>
      </c>
    </row>
    <row r="21" spans="1:52">
      <c r="A21">
        <v>2</v>
      </c>
      <c r="B21" s="36" t="s">
        <v>96</v>
      </c>
      <c r="C21" s="37"/>
      <c r="D21" s="37" t="str">
        <f>IF($C21="","",VLOOKUP($C21,CTBat!$G$10:$BR$203,D$4,FALSE))</f>
        <v/>
      </c>
      <c r="E21" s="37" t="str">
        <f>IF($C21="","",VLOOKUP($C21,CTBat!$G$10:$BR$203,E$4,FALSE))</f>
        <v/>
      </c>
      <c r="F21" s="53" t="str">
        <f t="shared" ref="F21:F27" si="92">IF($C21="","",IF(AND(O21&gt;0,O21=SUM(M21:T21)),1,0))</f>
        <v/>
      </c>
      <c r="G21" s="239" t="str">
        <f t="shared" si="73"/>
        <v/>
      </c>
      <c r="H21" s="239" t="str">
        <f>IF($C21="","",IF(AND(K21&gt;5,P21&lt;&gt;"-"),1,0))</f>
        <v/>
      </c>
      <c r="I21" s="240" t="str">
        <f t="shared" ref="I21:I27" si="93">IF($C21="","","-")</f>
        <v/>
      </c>
      <c r="J21" s="37" t="str">
        <f>IF($C21="","",VLOOKUP($C21,CTBat!$G$10:$BR$203,J$4,FALSE))</f>
        <v/>
      </c>
      <c r="K21" s="37" t="str">
        <f>IF($C21="","",VLOOKUP($C21,CTBat!$G$10:$BR$203,K$4,FALSE))</f>
        <v/>
      </c>
      <c r="L21" s="37" t="str">
        <f>IF($C21="","",VLOOKUP($C21,CTBat!$G$10:$BR$203,L$4,FALSE))</f>
        <v/>
      </c>
      <c r="M21" s="58" t="str">
        <f>IF($C21="","",VLOOKUP($C21,CTBat!$G$10:$BR$203,M$4,FALSE))</f>
        <v/>
      </c>
      <c r="N21" s="37" t="str">
        <f>IF($C21="","",VLOOKUP($C21,CTBat!$G$10:$BR$203,N$4,FALSE))</f>
        <v/>
      </c>
      <c r="O21" s="37" t="str">
        <f>IF($C21="","",VLOOKUP($C21,CTBat!$G$10:$BR$203,O$4,FALSE))</f>
        <v/>
      </c>
      <c r="P21" s="37" t="str">
        <f>IF($C21="","",VLOOKUP($C21,CTBat!$G$10:$BR$203,P$4,FALSE))</f>
        <v/>
      </c>
      <c r="Q21" s="37" t="str">
        <f>IF($C21="","",VLOOKUP($C21,CTBat!$G$10:$BR$203,Q$4,FALSE))</f>
        <v/>
      </c>
      <c r="R21" s="37" t="str">
        <f>IF($C21="","",VLOOKUP($C21,CTBat!$G$10:$BR$203,R$4,FALSE))</f>
        <v/>
      </c>
      <c r="S21" s="37" t="str">
        <f>IF($C21="","",VLOOKUP($C21,CTBat!$G$10:$BR$203,S$4,FALSE))</f>
        <v/>
      </c>
      <c r="T21" s="38" t="str">
        <f>IF($C21="","",VLOOKUP($C21,CTBat!$G$10:$BR$203,T$4,FALSE))</f>
        <v/>
      </c>
      <c r="U21" s="239" t="str">
        <f t="shared" si="74"/>
        <v/>
      </c>
      <c r="V21" s="239" t="str">
        <f t="shared" si="75"/>
        <v/>
      </c>
      <c r="W21" s="239" t="str">
        <f t="shared" ref="W21:W27" si="94">IF($C21="","",IF(AND(AD21&gt;6,AF21&gt;6,AG21&gt;6),1,0))</f>
        <v/>
      </c>
      <c r="X21" s="239" t="str">
        <f t="shared" si="76"/>
        <v/>
      </c>
      <c r="Y21" s="239" t="str">
        <f t="shared" si="77"/>
        <v/>
      </c>
      <c r="Z21" s="239" t="str">
        <f t="shared" si="78"/>
        <v/>
      </c>
      <c r="AA21" s="239" t="str">
        <f t="shared" si="79"/>
        <v/>
      </c>
      <c r="AB21" s="239" t="str">
        <f t="shared" si="80"/>
        <v/>
      </c>
      <c r="AC21" s="239" t="str">
        <f t="shared" si="81"/>
        <v/>
      </c>
      <c r="AD21" s="58" t="str">
        <f>IF($C21="","",VLOOKUP($C21,CTBat!$G$10:$BR$203,AD$4,FALSE))</f>
        <v/>
      </c>
      <c r="AE21" s="37" t="str">
        <f>IF($C21="","",VLOOKUP($C21,CTBat!$G$10:$BR$203,AE$4,FALSE))</f>
        <v/>
      </c>
      <c r="AF21" s="37" t="str">
        <f>IF($C21="","",VLOOKUP($C21,CTBat!$G$10:$BR$203,AF$4,FALSE))</f>
        <v/>
      </c>
      <c r="AG21" s="37" t="str">
        <f>IF($C21="","",VLOOKUP($C21,CTBat!$G$10:$BR$203,AG$4,FALSE))</f>
        <v/>
      </c>
      <c r="AH21" s="37" t="str">
        <f>IF($C21="","",VLOOKUP($C21,CTBat!$G$10:$BR$203,AH$4,FALSE))</f>
        <v/>
      </c>
      <c r="AI21" s="37" t="str">
        <f>IF($C21="","",VLOOKUP($C21,CTBat!$G$10:$BR$203,AI$4,FALSE))</f>
        <v/>
      </c>
      <c r="AJ21" s="38" t="str">
        <f>IF($C21="","",VLOOKUP($C21,CTBat!$G$10:$BR$203,AJ$4,FALSE))</f>
        <v/>
      </c>
      <c r="AK21" s="67" t="str">
        <f t="shared" ref="AK21:AK27" si="95">IF($C21="","",(5*AD21+4*AF21+3*AG21+2*AE21+1*AH21+0.5*(AVERAGE(AD21:AE21))+0.5*AVERAGE(AD21,AH21)+1*(AVERAGE(AD21,AF21))+1*AVERAGE(AD21,AG21))/(5+4+3+2+1+0.5+0.5+1+1))</f>
        <v/>
      </c>
      <c r="AL21" s="239" t="str">
        <f t="shared" si="82"/>
        <v/>
      </c>
      <c r="AM21" s="239" t="str">
        <f t="shared" si="83"/>
        <v/>
      </c>
      <c r="AN21" s="239" t="str">
        <f t="shared" si="84"/>
        <v/>
      </c>
      <c r="AO21" s="239" t="str">
        <f t="shared" si="85"/>
        <v/>
      </c>
      <c r="AP21" s="239" t="str">
        <f t="shared" si="86"/>
        <v/>
      </c>
      <c r="AQ21" s="239" t="str">
        <f t="shared" si="87"/>
        <v/>
      </c>
      <c r="AR21" s="239" t="str">
        <f t="shared" si="88"/>
        <v/>
      </c>
      <c r="AS21" s="239" t="str">
        <f t="shared" si="89"/>
        <v/>
      </c>
      <c r="AT21" s="239" t="str">
        <f t="shared" si="90"/>
        <v/>
      </c>
      <c r="AU21" s="58" t="str">
        <f>IF($C21="","",VLOOKUP($C21,CTBat!$G$10:$BR$203,AU$4,FALSE))</f>
        <v/>
      </c>
      <c r="AV21" s="37" t="str">
        <f>IF($C21="","",VLOOKUP($C21,CTBat!$G$10:$BR$203,AV$4,FALSE))</f>
        <v/>
      </c>
      <c r="AW21" s="37" t="str">
        <f>IF($C21="","",VLOOKUP($C21,CTBat!$G$10:$BR$203,AW$4,FALSE))</f>
        <v/>
      </c>
      <c r="AX21" s="37" t="str">
        <f>IF($C21="","",VLOOKUP($C21,CTBat!$G$10:$BR$203,AX$4,FALSE))</f>
        <v/>
      </c>
      <c r="AY21" s="38" t="str">
        <f>IF($C21="","",VLOOKUP($C21,CTBat!$G$10:$BR$203,AY$4,FALSE))</f>
        <v/>
      </c>
      <c r="AZ21" s="67" t="str">
        <f t="shared" si="91"/>
        <v/>
      </c>
    </row>
    <row r="22" spans="1:52">
      <c r="A22">
        <v>3</v>
      </c>
      <c r="B22" s="36" t="s">
        <v>97</v>
      </c>
      <c r="C22" s="37"/>
      <c r="D22" s="37" t="str">
        <f>IF($C22="","",VLOOKUP($C22,CTBat!$G$10:$BR$203,D$4,FALSE))</f>
        <v/>
      </c>
      <c r="E22" s="37" t="str">
        <f>IF($C22="","",VLOOKUP($C22,CTBat!$G$10:$BR$203,E$4,FALSE))</f>
        <v/>
      </c>
      <c r="F22" s="53" t="str">
        <f t="shared" si="92"/>
        <v/>
      </c>
      <c r="G22" s="239" t="str">
        <f t="shared" si="73"/>
        <v/>
      </c>
      <c r="H22" s="239" t="str">
        <f t="shared" ref="H22:H27" si="96">IF($C22="","",IF(AND(K22&gt;5,P22&lt;&gt;"-"),1,0))</f>
        <v/>
      </c>
      <c r="I22" s="240" t="str">
        <f t="shared" si="93"/>
        <v/>
      </c>
      <c r="J22" s="37" t="str">
        <f>IF($C22="","",VLOOKUP($C22,CTBat!$G$10:$BR$203,J$4,FALSE))</f>
        <v/>
      </c>
      <c r="K22" s="37" t="str">
        <f>IF($C22="","",VLOOKUP($C22,CTBat!$G$10:$BR$203,K$4,FALSE))</f>
        <v/>
      </c>
      <c r="L22" s="37" t="str">
        <f>IF($C22="","",VLOOKUP($C22,CTBat!$G$10:$BR$203,L$4,FALSE))</f>
        <v/>
      </c>
      <c r="M22" s="58" t="str">
        <f>IF($C22="","",VLOOKUP($C22,CTBat!$G$10:$BR$203,M$4,FALSE))</f>
        <v/>
      </c>
      <c r="N22" s="37" t="str">
        <f>IF($C22="","",VLOOKUP($C22,CTBat!$G$10:$BR$203,N$4,FALSE))</f>
        <v/>
      </c>
      <c r="O22" s="37" t="str">
        <f>IF($C22="","",VLOOKUP($C22,CTBat!$G$10:$BR$203,O$4,FALSE))</f>
        <v/>
      </c>
      <c r="P22" s="37" t="str">
        <f>IF($C22="","",VLOOKUP($C22,CTBat!$G$10:$BR$203,P$4,FALSE))</f>
        <v/>
      </c>
      <c r="Q22" s="37" t="str">
        <f>IF($C22="","",VLOOKUP($C22,CTBat!$G$10:$BR$203,Q$4,FALSE))</f>
        <v/>
      </c>
      <c r="R22" s="37" t="str">
        <f>IF($C22="","",VLOOKUP($C22,CTBat!$G$10:$BR$203,R$4,FALSE))</f>
        <v/>
      </c>
      <c r="S22" s="37" t="str">
        <f>IF($C22="","",VLOOKUP($C22,CTBat!$G$10:$BR$203,S$4,FALSE))</f>
        <v/>
      </c>
      <c r="T22" s="38" t="str">
        <f>IF($C22="","",VLOOKUP($C22,CTBat!$G$10:$BR$203,T$4,FALSE))</f>
        <v/>
      </c>
      <c r="U22" s="239" t="str">
        <f>IF($C22="","",IF(OR(AD22+AG22&gt;14,AND(OR(AD22+AG22&gt;12,AND(AD22&gt;6,AG22&gt;6)),AI22&gt;6,OR(AJ22&gt;=AI22,AJ22&gt;6))),1,0))</f>
        <v/>
      </c>
      <c r="V22" s="239" t="str">
        <f t="shared" si="75"/>
        <v/>
      </c>
      <c r="W22" s="239" t="str">
        <f t="shared" si="94"/>
        <v/>
      </c>
      <c r="X22" s="239" t="str">
        <f t="shared" si="76"/>
        <v/>
      </c>
      <c r="Y22" s="239" t="str">
        <f t="shared" si="77"/>
        <v/>
      </c>
      <c r="Z22" s="239" t="str">
        <f t="shared" si="78"/>
        <v/>
      </c>
      <c r="AA22" s="239" t="str">
        <f t="shared" si="79"/>
        <v/>
      </c>
      <c r="AB22" s="239" t="str">
        <f t="shared" si="80"/>
        <v/>
      </c>
      <c r="AC22" s="239" t="str">
        <f t="shared" si="81"/>
        <v/>
      </c>
      <c r="AD22" s="58" t="str">
        <f>IF($C22="","",VLOOKUP($C22,CTBat!$G$10:$BR$203,AD$4,FALSE))</f>
        <v/>
      </c>
      <c r="AE22" s="37" t="str">
        <f>IF($C22="","",VLOOKUP($C22,CTBat!$G$10:$BR$203,AE$4,FALSE))</f>
        <v/>
      </c>
      <c r="AF22" s="37" t="str">
        <f>IF($C22="","",VLOOKUP($C22,CTBat!$G$10:$BR$203,AF$4,FALSE))</f>
        <v/>
      </c>
      <c r="AG22" s="37" t="str">
        <f>IF($C22="","",VLOOKUP($C22,CTBat!$G$10:$BR$203,AG$4,FALSE))</f>
        <v/>
      </c>
      <c r="AH22" s="37" t="str">
        <f>IF($C22="","",VLOOKUP($C22,CTBat!$G$10:$BR$203,AH$4,FALSE))</f>
        <v/>
      </c>
      <c r="AI22" s="37" t="str">
        <f>IF($C22="","",VLOOKUP($C22,CTBat!$G$10:$BR$203,AI$4,FALSE))</f>
        <v/>
      </c>
      <c r="AJ22" s="38" t="str">
        <f>IF($C22="","",VLOOKUP($C22,CTBat!$G$10:$BR$203,AJ$4,FALSE))</f>
        <v/>
      </c>
      <c r="AK22" s="67" t="str">
        <f t="shared" si="95"/>
        <v/>
      </c>
      <c r="AL22" s="239" t="str">
        <f t="shared" si="82"/>
        <v/>
      </c>
      <c r="AM22" s="239" t="str">
        <f t="shared" si="83"/>
        <v/>
      </c>
      <c r="AN22" s="239" t="str">
        <f t="shared" si="84"/>
        <v/>
      </c>
      <c r="AO22" s="239" t="str">
        <f t="shared" si="85"/>
        <v/>
      </c>
      <c r="AP22" s="239" t="str">
        <f t="shared" si="86"/>
        <v/>
      </c>
      <c r="AQ22" s="239" t="str">
        <f t="shared" si="87"/>
        <v/>
      </c>
      <c r="AR22" s="239" t="str">
        <f t="shared" si="88"/>
        <v/>
      </c>
      <c r="AS22" s="239" t="str">
        <f t="shared" si="89"/>
        <v/>
      </c>
      <c r="AT22" s="239" t="str">
        <f t="shared" si="90"/>
        <v/>
      </c>
      <c r="AU22" s="58" t="str">
        <f>IF($C22="","",VLOOKUP($C22,CTBat!$G$10:$BR$203,AU$4,FALSE))</f>
        <v/>
      </c>
      <c r="AV22" s="37" t="str">
        <f>IF($C22="","",VLOOKUP($C22,CTBat!$G$10:$BR$203,AV$4,FALSE))</f>
        <v/>
      </c>
      <c r="AW22" s="37" t="str">
        <f>IF($C22="","",VLOOKUP($C22,CTBat!$G$10:$BR$203,AW$4,FALSE))</f>
        <v/>
      </c>
      <c r="AX22" s="37" t="str">
        <f>IF($C22="","",VLOOKUP($C22,CTBat!$G$10:$BR$203,AX$4,FALSE))</f>
        <v/>
      </c>
      <c r="AY22" s="38" t="str">
        <f>IF($C22="","",VLOOKUP($C22,CTBat!$G$10:$BR$203,AY$4,FALSE))</f>
        <v/>
      </c>
      <c r="AZ22" s="67" t="str">
        <f t="shared" si="91"/>
        <v/>
      </c>
    </row>
    <row r="23" spans="1:52">
      <c r="A23">
        <v>4</v>
      </c>
      <c r="B23" s="36" t="s">
        <v>101</v>
      </c>
      <c r="C23" s="37"/>
      <c r="D23" s="37" t="str">
        <f>IF($C23="","",VLOOKUP($C23,CTBat!$G$10:$BR$203,D$4,FALSE))</f>
        <v/>
      </c>
      <c r="E23" s="37" t="str">
        <f>IF($C23="","",VLOOKUP($C23,CTBat!$G$10:$BR$203,E$4,FALSE))</f>
        <v/>
      </c>
      <c r="F23" s="53" t="str">
        <f t="shared" si="92"/>
        <v/>
      </c>
      <c r="G23" s="239" t="str">
        <f t="shared" si="73"/>
        <v/>
      </c>
      <c r="H23" s="239" t="str">
        <f t="shared" si="96"/>
        <v/>
      </c>
      <c r="I23" s="240" t="str">
        <f t="shared" si="93"/>
        <v/>
      </c>
      <c r="J23" s="37" t="str">
        <f>IF($C23="","",VLOOKUP($C23,CTBat!$G$10:$BR$203,J$4,FALSE))</f>
        <v/>
      </c>
      <c r="K23" s="37" t="str">
        <f>IF($C23="","",VLOOKUP($C23,CTBat!$G$10:$BR$203,K$4,FALSE))</f>
        <v/>
      </c>
      <c r="L23" s="37" t="str">
        <f>IF($C23="","",VLOOKUP($C23,CTBat!$G$10:$BR$203,L$4,FALSE))</f>
        <v/>
      </c>
      <c r="M23" s="58" t="str">
        <f>IF($C23="","",VLOOKUP($C23,CTBat!$G$10:$BR$203,M$4,FALSE))</f>
        <v/>
      </c>
      <c r="N23" s="37" t="str">
        <f>IF($C23="","",VLOOKUP($C23,CTBat!$G$10:$BR$203,N$4,FALSE))</f>
        <v/>
      </c>
      <c r="O23" s="37" t="str">
        <f>IF($C23="","",VLOOKUP($C23,CTBat!$G$10:$BR$203,O$4,FALSE))</f>
        <v/>
      </c>
      <c r="P23" s="37" t="str">
        <f>IF($C23="","",VLOOKUP($C23,CTBat!$G$10:$BR$203,P$4,FALSE))</f>
        <v/>
      </c>
      <c r="Q23" s="37" t="str">
        <f>IF($C23="","",VLOOKUP($C23,CTBat!$G$10:$BR$203,Q$4,FALSE))</f>
        <v/>
      </c>
      <c r="R23" s="37" t="str">
        <f>IF($C23="","",VLOOKUP($C23,CTBat!$G$10:$BR$203,R$4,FALSE))</f>
        <v/>
      </c>
      <c r="S23" s="37" t="str">
        <f>IF($C23="","",VLOOKUP($C23,CTBat!$G$10:$BR$203,S$4,FALSE))</f>
        <v/>
      </c>
      <c r="T23" s="38" t="str">
        <f>IF($C23="","",VLOOKUP($C23,CTBat!$G$10:$BR$203,T$4,FALSE))</f>
        <v/>
      </c>
      <c r="U23" s="239" t="str">
        <f t="shared" ref="U23:U27" si="97">IF($C23="","",IF(OR(AD23+AG23&gt;14,AND(OR(AD23+AG23&gt;12,AND(AD23&gt;6,AG23&gt;6)),AI23&gt;6,OR(AJ23&gt;=AI23,AJ23&gt;6))),1,0))</f>
        <v/>
      </c>
      <c r="V23" s="239" t="str">
        <f t="shared" si="75"/>
        <v/>
      </c>
      <c r="W23" s="239" t="str">
        <f t="shared" si="94"/>
        <v/>
      </c>
      <c r="X23" s="239" t="str">
        <f t="shared" si="76"/>
        <v/>
      </c>
      <c r="Y23" s="239" t="str">
        <f t="shared" si="77"/>
        <v/>
      </c>
      <c r="Z23" s="239" t="str">
        <f t="shared" si="78"/>
        <v/>
      </c>
      <c r="AA23" s="239" t="str">
        <f t="shared" si="79"/>
        <v/>
      </c>
      <c r="AB23" s="239" t="str">
        <f t="shared" si="80"/>
        <v/>
      </c>
      <c r="AC23" s="239" t="str">
        <f t="shared" si="81"/>
        <v/>
      </c>
      <c r="AD23" s="58" t="str">
        <f>IF($C23="","",VLOOKUP($C23,CTBat!$G$10:$BR$203,AD$4,FALSE))</f>
        <v/>
      </c>
      <c r="AE23" s="37" t="str">
        <f>IF($C23="","",VLOOKUP($C23,CTBat!$G$10:$BR$203,AE$4,FALSE))</f>
        <v/>
      </c>
      <c r="AF23" s="37" t="str">
        <f>IF($C23="","",VLOOKUP($C23,CTBat!$G$10:$BR$203,AF$4,FALSE))</f>
        <v/>
      </c>
      <c r="AG23" s="37" t="str">
        <f>IF($C23="","",VLOOKUP($C23,CTBat!$G$10:$BR$203,AG$4,FALSE))</f>
        <v/>
      </c>
      <c r="AH23" s="37" t="str">
        <f>IF($C23="","",VLOOKUP($C23,CTBat!$G$10:$BR$203,AH$4,FALSE))</f>
        <v/>
      </c>
      <c r="AI23" s="37" t="str">
        <f>IF($C23="","",VLOOKUP($C23,CTBat!$G$10:$BR$203,AI$4,FALSE))</f>
        <v/>
      </c>
      <c r="AJ23" s="38" t="str">
        <f>IF($C23="","",VLOOKUP($C23,CTBat!$G$10:$BR$203,AJ$4,FALSE))</f>
        <v/>
      </c>
      <c r="AK23" s="67" t="str">
        <f t="shared" si="95"/>
        <v/>
      </c>
      <c r="AL23" s="239" t="str">
        <f t="shared" si="82"/>
        <v/>
      </c>
      <c r="AM23" s="239" t="str">
        <f t="shared" si="83"/>
        <v/>
      </c>
      <c r="AN23" s="239" t="str">
        <f t="shared" si="84"/>
        <v/>
      </c>
      <c r="AO23" s="239" t="str">
        <f t="shared" si="85"/>
        <v/>
      </c>
      <c r="AP23" s="239" t="str">
        <f t="shared" si="86"/>
        <v/>
      </c>
      <c r="AQ23" s="239" t="str">
        <f t="shared" si="87"/>
        <v/>
      </c>
      <c r="AR23" s="239" t="str">
        <f t="shared" si="88"/>
        <v/>
      </c>
      <c r="AS23" s="239" t="str">
        <f t="shared" si="89"/>
        <v/>
      </c>
      <c r="AT23" s="239" t="str">
        <f t="shared" si="90"/>
        <v/>
      </c>
      <c r="AU23" s="58" t="str">
        <f>IF($C23="","",VLOOKUP($C23,CTBat!$G$10:$BR$203,AU$4,FALSE))</f>
        <v/>
      </c>
      <c r="AV23" s="37" t="str">
        <f>IF($C23="","",VLOOKUP($C23,CTBat!$G$10:$BR$203,AV$4,FALSE))</f>
        <v/>
      </c>
      <c r="AW23" s="37" t="str">
        <f>IF($C23="","",VLOOKUP($C23,CTBat!$G$10:$BR$203,AW$4,FALSE))</f>
        <v/>
      </c>
      <c r="AX23" s="37" t="str">
        <f>IF($C23="","",VLOOKUP($C23,CTBat!$G$10:$BR$203,AX$4,FALSE))</f>
        <v/>
      </c>
      <c r="AY23" s="38" t="str">
        <f>IF($C23="","",VLOOKUP($C23,CTBat!$G$10:$BR$203,AY$4,FALSE))</f>
        <v/>
      </c>
      <c r="AZ23" s="67" t="str">
        <f t="shared" si="91"/>
        <v/>
      </c>
    </row>
    <row r="24" spans="1:52">
      <c r="A24">
        <v>5</v>
      </c>
      <c r="B24" s="36" t="s">
        <v>101</v>
      </c>
      <c r="C24" s="65"/>
      <c r="D24" s="37" t="str">
        <f>IF($C24="","",VLOOKUP($C24,CTBat!$G$10:$BR$203,D$4,FALSE))</f>
        <v/>
      </c>
      <c r="E24" s="37" t="str">
        <f>IF($C24="","",VLOOKUP($C24,CTBat!$G$10:$BR$203,E$4,FALSE))</f>
        <v/>
      </c>
      <c r="F24" s="53" t="str">
        <f t="shared" ref="F24" si="98">IF($C24="","",IF(AND(O24&gt;0,O24=SUM(M24:T24)),1,0))</f>
        <v/>
      </c>
      <c r="G24" s="275" t="str">
        <f t="shared" ref="G24" si="99">IF($C24="","",IF(Q24&lt;&gt;"-",1,0))</f>
        <v/>
      </c>
      <c r="H24" s="275" t="str">
        <f t="shared" ref="H24" si="100">IF($C24="","",IF(AND(K24&gt;5,P24&lt;&gt;"-"),1,0))</f>
        <v/>
      </c>
      <c r="I24" s="276" t="str">
        <f t="shared" si="93"/>
        <v/>
      </c>
      <c r="J24" s="37" t="str">
        <f>IF($C24="","",VLOOKUP($C24,CTBat!$G$10:$BR$203,J$4,FALSE))</f>
        <v/>
      </c>
      <c r="K24" s="37" t="str">
        <f>IF($C24="","",VLOOKUP($C24,CTBat!$G$10:$BR$203,K$4,FALSE))</f>
        <v/>
      </c>
      <c r="L24" s="37" t="str">
        <f>IF($C24="","",VLOOKUP($C24,CTBat!$G$10:$BR$203,L$4,FALSE))</f>
        <v/>
      </c>
      <c r="M24" s="58" t="str">
        <f>IF($C24="","",VLOOKUP($C24,CTBat!$G$10:$BR$203,M$4,FALSE))</f>
        <v/>
      </c>
      <c r="N24" s="37" t="str">
        <f>IF($C24="","",VLOOKUP($C24,CTBat!$G$10:$BR$203,N$4,FALSE))</f>
        <v/>
      </c>
      <c r="O24" s="37" t="str">
        <f>IF($C24="","",VLOOKUP($C24,CTBat!$G$10:$BR$203,O$4,FALSE))</f>
        <v/>
      </c>
      <c r="P24" s="37" t="str">
        <f>IF($C24="","",VLOOKUP($C24,CTBat!$G$10:$BR$203,P$4,FALSE))</f>
        <v/>
      </c>
      <c r="Q24" s="37" t="str">
        <f>IF($C24="","",VLOOKUP($C24,CTBat!$G$10:$BR$203,Q$4,FALSE))</f>
        <v/>
      </c>
      <c r="R24" s="37" t="str">
        <f>IF($C24="","",VLOOKUP($C24,CTBat!$G$10:$BR$203,R$4,FALSE))</f>
        <v/>
      </c>
      <c r="S24" s="37" t="str">
        <f>IF($C24="","",VLOOKUP($C24,CTBat!$G$10:$BR$203,S$4,FALSE))</f>
        <v/>
      </c>
      <c r="T24" s="38" t="str">
        <f>IF($C24="","",VLOOKUP($C24,CTBat!$G$10:$BR$203,T$4,FALSE))</f>
        <v/>
      </c>
      <c r="U24" s="275" t="str">
        <f t="shared" ref="U24" si="101">IF($C24="","",IF(OR(AD24+AG24&gt;14,AND(OR(AD24+AG24&gt;12,AND(AD24&gt;6,AG24&gt;6)),AI24&gt;6,OR(AJ24&gt;=AI24,AJ24&gt;6))),1,0))</f>
        <v/>
      </c>
      <c r="V24" s="275" t="str">
        <f t="shared" ref="V24" si="102">IF($C24="","",IF(OR(AND(AD24&gt;6,AH24&gt;6),AD24+AG24&gt;12),1,0))</f>
        <v/>
      </c>
      <c r="W24" s="275" t="str">
        <f t="shared" ref="W24" si="103">IF($C24="","",IF(AND(AD24&gt;6,AF24&gt;6,AG24&gt;6),1,0))</f>
        <v/>
      </c>
      <c r="X24" s="275" t="str">
        <f t="shared" ref="X24" si="104">IF($C24="","",IF(AND(AF24&gt;7,OR(AD24&gt;6,AG24&gt;6)),1,0))</f>
        <v/>
      </c>
      <c r="Y24" s="275" t="str">
        <f t="shared" ref="Y24" si="105">IF($C24="","",IF(AND(AF24&gt;6,OR(AD24&gt;6,AG24&gt;6)),1,0))</f>
        <v/>
      </c>
      <c r="Z24" s="275" t="str">
        <f t="shared" ref="Z24" si="106">IF($C24="","",IF(AND(OR(AD24&gt;6,AF24&gt;6),OR(AD24&gt;6,AG24&gt;6)),1,0))</f>
        <v/>
      </c>
      <c r="AA24" s="275" t="str">
        <f t="shared" ref="AA24" si="107">IF($C24="","",IF(AND(AD24&gt;4,OR(AD24&gt;6,AF24&gt;6,AG24&gt;6)),1,0))</f>
        <v/>
      </c>
      <c r="AB24" s="275" t="str">
        <f t="shared" ref="AB24" si="108">IF($C24="","",IF(AND(AD24&gt;4,OR(AD24&gt;6,AE24&gt;6,AF24&gt;6,AG24&gt;6)),1,0))</f>
        <v/>
      </c>
      <c r="AC24" s="275" t="str">
        <f t="shared" ref="AC24" si="109">IF($C24="","",IF(AND(AD24&gt;4,MAX(AD24:AH24)&gt;6),1,0))</f>
        <v/>
      </c>
      <c r="AD24" s="58" t="str">
        <f>IF($C24="","",VLOOKUP($C24,CTBat!$G$10:$BR$203,AD$4,FALSE))</f>
        <v/>
      </c>
      <c r="AE24" s="37" t="str">
        <f>IF($C24="","",VLOOKUP($C24,CTBat!$G$10:$BR$203,AE$4,FALSE))</f>
        <v/>
      </c>
      <c r="AF24" s="37" t="str">
        <f>IF($C24="","",VLOOKUP($C24,CTBat!$G$10:$BR$203,AF$4,FALSE))</f>
        <v/>
      </c>
      <c r="AG24" s="37" t="str">
        <f>IF($C24="","",VLOOKUP($C24,CTBat!$G$10:$BR$203,AG$4,FALSE))</f>
        <v/>
      </c>
      <c r="AH24" s="37" t="str">
        <f>IF($C24="","",VLOOKUP($C24,CTBat!$G$10:$BR$203,AH$4,FALSE))</f>
        <v/>
      </c>
      <c r="AI24" s="37" t="str">
        <f>IF($C24="","",VLOOKUP($C24,CTBat!$G$10:$BR$203,AI$4,FALSE))</f>
        <v/>
      </c>
      <c r="AJ24" s="38" t="str">
        <f>IF($C24="","",VLOOKUP($C24,CTBat!$G$10:$BR$203,AJ$4,FALSE))</f>
        <v/>
      </c>
      <c r="AK24" s="67" t="str">
        <f t="shared" ref="AK24" si="110">IF($C24="","",(5*AD24+4*AF24+3*AG24+2*AE24+1*AH24+0.5*(AVERAGE(AD24:AE24))+0.5*AVERAGE(AD24,AH24)+1*(AVERAGE(AD24,AF24))+1*AVERAGE(AD24,AG24))/(5+4+3+2+1+0.5+0.5+1+1))</f>
        <v/>
      </c>
      <c r="AL24" s="275" t="str">
        <f t="shared" ref="AL24" si="111">IF($C24="","",IF(AND(OR(AU24+AX24&gt;12,AND(AU24&gt;6,AX24&gt;6)),AI24&gt;6,OR(AJ24&gt;=AI24,AJ24&gt;6)),1,0))</f>
        <v/>
      </c>
      <c r="AM24" s="275" t="str">
        <f t="shared" ref="AM24" si="112">IF($C24="","",IF(OR(AND(AU24&gt;6,AY24&gt;6),AU24+AX24&gt;12),1,0))</f>
        <v/>
      </c>
      <c r="AN24" s="275" t="str">
        <f t="shared" ref="AN24" si="113">IF($C24="","",IF(AND(AU24&gt;6,AW24&gt;6,AX24&gt;6),1,0))</f>
        <v/>
      </c>
      <c r="AO24" s="275" t="str">
        <f t="shared" ref="AO24" si="114">IF($C24="","",IF(AND(AW24&gt;7,OR(AU24&gt;6,AX24&gt;6)),1,0))</f>
        <v/>
      </c>
      <c r="AP24" s="275" t="str">
        <f t="shared" ref="AP24" si="115">IF($C24="","",IF(AND(AW24&gt;6,OR(AU24&gt;6,AX24&gt;6)),1,0))</f>
        <v/>
      </c>
      <c r="AQ24" s="275" t="str">
        <f t="shared" ref="AQ24" si="116">IF($C24="","",IF(AND(OR(AU24&gt;6,AW24&gt;6),OR(AU24&gt;6,AX24&gt;6)),1,0))</f>
        <v/>
      </c>
      <c r="AR24" s="275" t="str">
        <f t="shared" ref="AR24" si="117">IF($C24="","",IF(AND(AU24&gt;4,OR(AU24&gt;6,AW24&gt;6,AX24&gt;6)),1,0))</f>
        <v/>
      </c>
      <c r="AS24" s="275" t="str">
        <f t="shared" ref="AS24" si="118">IF($C24="","",IF(AND(AU24&gt;4,OR(AU24&gt;6,AV24&gt;6,AW24&gt;6,AX24&gt;6)),1,0))</f>
        <v/>
      </c>
      <c r="AT24" s="275" t="str">
        <f t="shared" ref="AT24" si="119">IF($C24="","",IF(AND(AU24&gt;4,MAX(AU24:AY24)&gt;6),1,0))</f>
        <v/>
      </c>
      <c r="AU24" s="58" t="str">
        <f>IF($C24="","",VLOOKUP($C24,CTBat!$G$10:$BR$203,AU$4,FALSE))</f>
        <v/>
      </c>
      <c r="AV24" s="37" t="str">
        <f>IF($C24="","",VLOOKUP($C24,CTBat!$G$10:$BR$203,AV$4,FALSE))</f>
        <v/>
      </c>
      <c r="AW24" s="37" t="str">
        <f>IF($C24="","",VLOOKUP($C24,CTBat!$G$10:$BR$203,AW$4,FALSE))</f>
        <v/>
      </c>
      <c r="AX24" s="37" t="str">
        <f>IF($C24="","",VLOOKUP($C24,CTBat!$G$10:$BR$203,AX$4,FALSE))</f>
        <v/>
      </c>
      <c r="AY24" s="38" t="str">
        <f>IF($C24="","",VLOOKUP($C24,CTBat!$G$10:$BR$203,AY$4,FALSE))</f>
        <v/>
      </c>
      <c r="AZ24" s="67" t="str">
        <f t="shared" ref="AZ24" si="120">IF($C24="","",(5*AU24+4*AW24+3*AX24+2*AV24+1*AY24+0.5*(AVERAGE(AU24:AV24))+0.5*AVERAGE(AU24,AY24)+1*(AVERAGE(AU24,AW24))+1*AVERAGE(AU24,AX24))/(5+4+3+2+1+0.5+0.5+1+1))</f>
        <v/>
      </c>
    </row>
    <row r="25" spans="1:52">
      <c r="A25">
        <v>6</v>
      </c>
      <c r="B25" s="36" t="s">
        <v>101</v>
      </c>
      <c r="C25" s="65"/>
      <c r="D25" s="37" t="str">
        <f>IF($C25="","",VLOOKUP($C25,CTBat!$G$10:$BR$203,D$4,FALSE))</f>
        <v/>
      </c>
      <c r="E25" s="37" t="str">
        <f>IF($C25="","",VLOOKUP($C25,CTBat!$G$10:$BR$203,E$4,FALSE))</f>
        <v/>
      </c>
      <c r="F25" s="53" t="str">
        <f t="shared" ref="F25" si="121">IF($C25="","",IF(AND(O25&gt;0,O25=SUM(M25:T25)),1,0))</f>
        <v/>
      </c>
      <c r="G25" s="275" t="str">
        <f t="shared" ref="G25" si="122">IF($C25="","",IF(Q25&lt;&gt;"-",1,0))</f>
        <v/>
      </c>
      <c r="H25" s="275" t="str">
        <f t="shared" ref="H25" si="123">IF($C25="","",IF(AND(K25&gt;5,P25&lt;&gt;"-"),1,0))</f>
        <v/>
      </c>
      <c r="I25" s="276" t="str">
        <f t="shared" si="93"/>
        <v/>
      </c>
      <c r="J25" s="37" t="str">
        <f>IF($C25="","",VLOOKUP($C25,CTBat!$G$10:$BR$203,J$4,FALSE))</f>
        <v/>
      </c>
      <c r="K25" s="37" t="str">
        <f>IF($C25="","",VLOOKUP($C25,CTBat!$G$10:$BR$203,K$4,FALSE))</f>
        <v/>
      </c>
      <c r="L25" s="37" t="str">
        <f>IF($C25="","",VLOOKUP($C25,CTBat!$G$10:$BR$203,L$4,FALSE))</f>
        <v/>
      </c>
      <c r="M25" s="58" t="str">
        <f>IF($C25="","",VLOOKUP($C25,CTBat!$G$10:$BR$203,M$4,FALSE))</f>
        <v/>
      </c>
      <c r="N25" s="37" t="str">
        <f>IF($C25="","",VLOOKUP($C25,CTBat!$G$10:$BR$203,N$4,FALSE))</f>
        <v/>
      </c>
      <c r="O25" s="37" t="str">
        <f>IF($C25="","",VLOOKUP($C25,CTBat!$G$10:$BR$203,O$4,FALSE))</f>
        <v/>
      </c>
      <c r="P25" s="37" t="str">
        <f>IF($C25="","",VLOOKUP($C25,CTBat!$G$10:$BR$203,P$4,FALSE))</f>
        <v/>
      </c>
      <c r="Q25" s="37" t="str">
        <f>IF($C25="","",VLOOKUP($C25,CTBat!$G$10:$BR$203,Q$4,FALSE))</f>
        <v/>
      </c>
      <c r="R25" s="37" t="str">
        <f>IF($C25="","",VLOOKUP($C25,CTBat!$G$10:$BR$203,R$4,FALSE))</f>
        <v/>
      </c>
      <c r="S25" s="37" t="str">
        <f>IF($C25="","",VLOOKUP($C25,CTBat!$G$10:$BR$203,S$4,FALSE))</f>
        <v/>
      </c>
      <c r="T25" s="38" t="str">
        <f>IF($C25="","",VLOOKUP($C25,CTBat!$G$10:$BR$203,T$4,FALSE))</f>
        <v/>
      </c>
      <c r="U25" s="275" t="str">
        <f t="shared" ref="U25" si="124">IF($C25="","",IF(OR(AD25+AG25&gt;14,AND(OR(AD25+AG25&gt;12,AND(AD25&gt;6,AG25&gt;6)),AI25&gt;6,OR(AJ25&gt;=AI25,AJ25&gt;6))),1,0))</f>
        <v/>
      </c>
      <c r="V25" s="275" t="str">
        <f t="shared" ref="V25" si="125">IF($C25="","",IF(OR(AND(AD25&gt;6,AH25&gt;6),AD25+AG25&gt;12),1,0))</f>
        <v/>
      </c>
      <c r="W25" s="275" t="str">
        <f t="shared" ref="W25" si="126">IF($C25="","",IF(AND(AD25&gt;6,AF25&gt;6,AG25&gt;6),1,0))</f>
        <v/>
      </c>
      <c r="X25" s="275" t="str">
        <f t="shared" ref="X25" si="127">IF($C25="","",IF(AND(AF25&gt;7,OR(AD25&gt;6,AG25&gt;6)),1,0))</f>
        <v/>
      </c>
      <c r="Y25" s="275" t="str">
        <f t="shared" ref="Y25" si="128">IF($C25="","",IF(AND(AF25&gt;6,OR(AD25&gt;6,AG25&gt;6)),1,0))</f>
        <v/>
      </c>
      <c r="Z25" s="275" t="str">
        <f t="shared" ref="Z25" si="129">IF($C25="","",IF(AND(OR(AD25&gt;6,AF25&gt;6),OR(AD25&gt;6,AG25&gt;6)),1,0))</f>
        <v/>
      </c>
      <c r="AA25" s="275" t="str">
        <f t="shared" ref="AA25" si="130">IF($C25="","",IF(AND(AD25&gt;4,OR(AD25&gt;6,AF25&gt;6,AG25&gt;6)),1,0))</f>
        <v/>
      </c>
      <c r="AB25" s="275" t="str">
        <f t="shared" ref="AB25" si="131">IF($C25="","",IF(AND(AD25&gt;4,OR(AD25&gt;6,AE25&gt;6,AF25&gt;6,AG25&gt;6)),1,0))</f>
        <v/>
      </c>
      <c r="AC25" s="275" t="str">
        <f t="shared" ref="AC25" si="132">IF($C25="","",IF(AND(AD25&gt;4,MAX(AD25:AH25)&gt;6),1,0))</f>
        <v/>
      </c>
      <c r="AD25" s="58" t="str">
        <f>IF($C25="","",VLOOKUP($C25,CTBat!$G$10:$BR$203,AD$4,FALSE))</f>
        <v/>
      </c>
      <c r="AE25" s="37" t="str">
        <f>IF($C25="","",VLOOKUP($C25,CTBat!$G$10:$BR$203,AE$4,FALSE))</f>
        <v/>
      </c>
      <c r="AF25" s="37" t="str">
        <f>IF($C25="","",VLOOKUP($C25,CTBat!$G$10:$BR$203,AF$4,FALSE))</f>
        <v/>
      </c>
      <c r="AG25" s="37" t="str">
        <f>IF($C25="","",VLOOKUP($C25,CTBat!$G$10:$BR$203,AG$4,FALSE))</f>
        <v/>
      </c>
      <c r="AH25" s="37" t="str">
        <f>IF($C25="","",VLOOKUP($C25,CTBat!$G$10:$BR$203,AH$4,FALSE))</f>
        <v/>
      </c>
      <c r="AI25" s="37" t="str">
        <f>IF($C25="","",VLOOKUP($C25,CTBat!$G$10:$BR$203,AI$4,FALSE))</f>
        <v/>
      </c>
      <c r="AJ25" s="38" t="str">
        <f>IF($C25="","",VLOOKUP($C25,CTBat!$G$10:$BR$203,AJ$4,FALSE))</f>
        <v/>
      </c>
      <c r="AK25" s="67" t="str">
        <f t="shared" ref="AK25" si="133">IF($C25="","",(5*AD25+4*AF25+3*AG25+2*AE25+1*AH25+0.5*(AVERAGE(AD25:AE25))+0.5*AVERAGE(AD25,AH25)+1*(AVERAGE(AD25,AF25))+1*AVERAGE(AD25,AG25))/(5+4+3+2+1+0.5+0.5+1+1))</f>
        <v/>
      </c>
      <c r="AL25" s="275" t="str">
        <f t="shared" ref="AL25" si="134">IF($C25="","",IF(AND(OR(AU25+AX25&gt;12,AND(AU25&gt;6,AX25&gt;6)),AI25&gt;6,OR(AJ25&gt;=AI25,AJ25&gt;6)),1,0))</f>
        <v/>
      </c>
      <c r="AM25" s="275" t="str">
        <f t="shared" ref="AM25" si="135">IF($C25="","",IF(OR(AND(AU25&gt;6,AY25&gt;6),AU25+AX25&gt;12),1,0))</f>
        <v/>
      </c>
      <c r="AN25" s="275" t="str">
        <f t="shared" ref="AN25" si="136">IF($C25="","",IF(AND(AU25&gt;6,AW25&gt;6,AX25&gt;6),1,0))</f>
        <v/>
      </c>
      <c r="AO25" s="275" t="str">
        <f t="shared" ref="AO25" si="137">IF($C25="","",IF(AND(AW25&gt;7,OR(AU25&gt;6,AX25&gt;6)),1,0))</f>
        <v/>
      </c>
      <c r="AP25" s="275" t="str">
        <f t="shared" ref="AP25" si="138">IF($C25="","",IF(AND(AW25&gt;6,OR(AU25&gt;6,AX25&gt;6)),1,0))</f>
        <v/>
      </c>
      <c r="AQ25" s="275" t="str">
        <f t="shared" ref="AQ25" si="139">IF($C25="","",IF(AND(OR(AU25&gt;6,AW25&gt;6),OR(AU25&gt;6,AX25&gt;6)),1,0))</f>
        <v/>
      </c>
      <c r="AR25" s="275" t="str">
        <f t="shared" ref="AR25" si="140">IF($C25="","",IF(AND(AU25&gt;4,OR(AU25&gt;6,AW25&gt;6,AX25&gt;6)),1,0))</f>
        <v/>
      </c>
      <c r="AS25" s="275" t="str">
        <f t="shared" ref="AS25" si="141">IF($C25="","",IF(AND(AU25&gt;4,OR(AU25&gt;6,AV25&gt;6,AW25&gt;6,AX25&gt;6)),1,0))</f>
        <v/>
      </c>
      <c r="AT25" s="275" t="str">
        <f t="shared" ref="AT25" si="142">IF($C25="","",IF(AND(AU25&gt;4,MAX(AU25:AY25)&gt;6),1,0))</f>
        <v/>
      </c>
      <c r="AU25" s="58" t="str">
        <f>IF($C25="","",VLOOKUP($C25,CTBat!$G$10:$BR$203,AU$4,FALSE))</f>
        <v/>
      </c>
      <c r="AV25" s="37" t="str">
        <f>IF($C25="","",VLOOKUP($C25,CTBat!$G$10:$BR$203,AV$4,FALSE))</f>
        <v/>
      </c>
      <c r="AW25" s="37" t="str">
        <f>IF($C25="","",VLOOKUP($C25,CTBat!$G$10:$BR$203,AW$4,FALSE))</f>
        <v/>
      </c>
      <c r="AX25" s="37" t="str">
        <f>IF($C25="","",VLOOKUP($C25,CTBat!$G$10:$BR$203,AX$4,FALSE))</f>
        <v/>
      </c>
      <c r="AY25" s="38" t="str">
        <f>IF($C25="","",VLOOKUP($C25,CTBat!$G$10:$BR$203,AY$4,FALSE))</f>
        <v/>
      </c>
      <c r="AZ25" s="67" t="str">
        <f t="shared" ref="AZ25" si="143">IF($C25="","",(5*AU25+4*AW25+3*AX25+2*AV25+1*AY25+0.5*(AVERAGE(AU25:AV25))+0.5*AVERAGE(AU25,AY25)+1*(AVERAGE(AU25,AW25))+1*AVERAGE(AU25,AX25))/(5+4+3+2+1+0.5+0.5+1+1))</f>
        <v/>
      </c>
    </row>
    <row r="26" spans="1:52">
      <c r="A26">
        <v>7</v>
      </c>
      <c r="B26" s="36" t="s">
        <v>101</v>
      </c>
      <c r="C26" s="65"/>
      <c r="D26" s="37" t="str">
        <f>IF($C26="","",VLOOKUP($C26,CTBat!$G$10:$BR$203,D$4,FALSE))</f>
        <v/>
      </c>
      <c r="E26" s="37" t="str">
        <f>IF($C26="","",VLOOKUP($C26,CTBat!$G$10:$BR$203,E$4,FALSE))</f>
        <v/>
      </c>
      <c r="F26" s="53" t="str">
        <f t="shared" si="92"/>
        <v/>
      </c>
      <c r="G26" s="239" t="str">
        <f t="shared" si="73"/>
        <v/>
      </c>
      <c r="H26" s="239" t="str">
        <f t="shared" si="96"/>
        <v/>
      </c>
      <c r="I26" s="240" t="str">
        <f t="shared" si="93"/>
        <v/>
      </c>
      <c r="J26" s="37" t="str">
        <f>IF($C26="","",VLOOKUP($C26,CTBat!$G$10:$BR$203,J$4,FALSE))</f>
        <v/>
      </c>
      <c r="K26" s="37" t="str">
        <f>IF($C26="","",VLOOKUP($C26,CTBat!$G$10:$BR$203,K$4,FALSE))</f>
        <v/>
      </c>
      <c r="L26" s="37" t="str">
        <f>IF($C26="","",VLOOKUP($C26,CTBat!$G$10:$BR$203,L$4,FALSE))</f>
        <v/>
      </c>
      <c r="M26" s="58" t="str">
        <f>IF($C26="","",VLOOKUP($C26,CTBat!$G$10:$BR$203,M$4,FALSE))</f>
        <v/>
      </c>
      <c r="N26" s="37" t="str">
        <f>IF($C26="","",VLOOKUP($C26,CTBat!$G$10:$BR$203,N$4,FALSE))</f>
        <v/>
      </c>
      <c r="O26" s="37" t="str">
        <f>IF($C26="","",VLOOKUP($C26,CTBat!$G$10:$BR$203,O$4,FALSE))</f>
        <v/>
      </c>
      <c r="P26" s="37" t="str">
        <f>IF($C26="","",VLOOKUP($C26,CTBat!$G$10:$BR$203,P$4,FALSE))</f>
        <v/>
      </c>
      <c r="Q26" s="37" t="str">
        <f>IF($C26="","",VLOOKUP($C26,CTBat!$G$10:$BR$203,Q$4,FALSE))</f>
        <v/>
      </c>
      <c r="R26" s="37" t="str">
        <f>IF($C26="","",VLOOKUP($C26,CTBat!$G$10:$BR$203,R$4,FALSE))</f>
        <v/>
      </c>
      <c r="S26" s="37" t="str">
        <f>IF($C26="","",VLOOKUP($C26,CTBat!$G$10:$BR$203,S$4,FALSE))</f>
        <v/>
      </c>
      <c r="T26" s="38" t="str">
        <f>IF($C26="","",VLOOKUP($C26,CTBat!$G$10:$BR$203,T$4,FALSE))</f>
        <v/>
      </c>
      <c r="U26" s="239" t="str">
        <f t="shared" si="97"/>
        <v/>
      </c>
      <c r="V26" s="239" t="str">
        <f t="shared" si="75"/>
        <v/>
      </c>
      <c r="W26" s="239" t="str">
        <f t="shared" si="94"/>
        <v/>
      </c>
      <c r="X26" s="239" t="str">
        <f t="shared" si="76"/>
        <v/>
      </c>
      <c r="Y26" s="239" t="str">
        <f t="shared" si="77"/>
        <v/>
      </c>
      <c r="Z26" s="239" t="str">
        <f t="shared" si="78"/>
        <v/>
      </c>
      <c r="AA26" s="239" t="str">
        <f t="shared" si="79"/>
        <v/>
      </c>
      <c r="AB26" s="239" t="str">
        <f t="shared" si="80"/>
        <v/>
      </c>
      <c r="AC26" s="239" t="str">
        <f t="shared" si="81"/>
        <v/>
      </c>
      <c r="AD26" s="58" t="str">
        <f>IF($C26="","",VLOOKUP($C26,CTBat!$G$10:$BR$203,AD$4,FALSE))</f>
        <v/>
      </c>
      <c r="AE26" s="37" t="str">
        <f>IF($C26="","",VLOOKUP($C26,CTBat!$G$10:$BR$203,AE$4,FALSE))</f>
        <v/>
      </c>
      <c r="AF26" s="37" t="str">
        <f>IF($C26="","",VLOOKUP($C26,CTBat!$G$10:$BR$203,AF$4,FALSE))</f>
        <v/>
      </c>
      <c r="AG26" s="37" t="str">
        <f>IF($C26="","",VLOOKUP($C26,CTBat!$G$10:$BR$203,AG$4,FALSE))</f>
        <v/>
      </c>
      <c r="AH26" s="37" t="str">
        <f>IF($C26="","",VLOOKUP($C26,CTBat!$G$10:$BR$203,AH$4,FALSE))</f>
        <v/>
      </c>
      <c r="AI26" s="37" t="str">
        <f>IF($C26="","",VLOOKUP($C26,CTBat!$G$10:$BR$203,AI$4,FALSE))</f>
        <v/>
      </c>
      <c r="AJ26" s="38" t="str">
        <f>IF($C26="","",VLOOKUP($C26,CTBat!$G$10:$BR$203,AJ$4,FALSE))</f>
        <v/>
      </c>
      <c r="AK26" s="67" t="str">
        <f t="shared" si="95"/>
        <v/>
      </c>
      <c r="AL26" s="239" t="str">
        <f t="shared" si="82"/>
        <v/>
      </c>
      <c r="AM26" s="239" t="str">
        <f t="shared" si="83"/>
        <v/>
      </c>
      <c r="AN26" s="239" t="str">
        <f t="shared" si="84"/>
        <v/>
      </c>
      <c r="AO26" s="239" t="str">
        <f t="shared" si="85"/>
        <v/>
      </c>
      <c r="AP26" s="239" t="str">
        <f t="shared" si="86"/>
        <v/>
      </c>
      <c r="AQ26" s="239" t="str">
        <f t="shared" si="87"/>
        <v/>
      </c>
      <c r="AR26" s="239" t="str">
        <f t="shared" si="88"/>
        <v/>
      </c>
      <c r="AS26" s="239" t="str">
        <f t="shared" si="89"/>
        <v/>
      </c>
      <c r="AT26" s="239" t="str">
        <f t="shared" si="90"/>
        <v/>
      </c>
      <c r="AU26" s="58" t="str">
        <f>IF($C26="","",VLOOKUP($C26,CTBat!$G$10:$BR$203,AU$4,FALSE))</f>
        <v/>
      </c>
      <c r="AV26" s="37" t="str">
        <f>IF($C26="","",VLOOKUP($C26,CTBat!$G$10:$BR$203,AV$4,FALSE))</f>
        <v/>
      </c>
      <c r="AW26" s="37" t="str">
        <f>IF($C26="","",VLOOKUP($C26,CTBat!$G$10:$BR$203,AW$4,FALSE))</f>
        <v/>
      </c>
      <c r="AX26" s="37" t="str">
        <f>IF($C26="","",VLOOKUP($C26,CTBat!$G$10:$BR$203,AX$4,FALSE))</f>
        <v/>
      </c>
      <c r="AY26" s="38" t="str">
        <f>IF($C26="","",VLOOKUP($C26,CTBat!$G$10:$BR$203,AY$4,FALSE))</f>
        <v/>
      </c>
      <c r="AZ26" s="67" t="str">
        <f t="shared" si="91"/>
        <v/>
      </c>
    </row>
    <row r="27" spans="1:52">
      <c r="A27">
        <v>8</v>
      </c>
      <c r="B27" s="39" t="s">
        <v>101</v>
      </c>
      <c r="C27" s="40"/>
      <c r="D27" s="40" t="str">
        <f>IF($C27="","",VLOOKUP($C27,CTBat!$G$10:$BR$203,D$4,FALSE))</f>
        <v/>
      </c>
      <c r="E27" s="40" t="str">
        <f>IF($C27="","",VLOOKUP($C27,CTBat!$G$10:$BR$203,E$4,FALSE))</f>
        <v/>
      </c>
      <c r="F27" s="54" t="str">
        <f t="shared" si="92"/>
        <v/>
      </c>
      <c r="G27" s="237" t="str">
        <f>IF($C27="","",IF(Q27&lt;&gt;"-",1,0))</f>
        <v/>
      </c>
      <c r="H27" s="237" t="str">
        <f t="shared" si="96"/>
        <v/>
      </c>
      <c r="I27" s="238" t="str">
        <f t="shared" si="93"/>
        <v/>
      </c>
      <c r="J27" s="40" t="str">
        <f>IF($C27="","",VLOOKUP($C27,CTBat!$G$10:$BR$203,J$4,FALSE))</f>
        <v/>
      </c>
      <c r="K27" s="40" t="str">
        <f>IF($C27="","",VLOOKUP($C27,CTBat!$G$10:$BR$203,K$4,FALSE))</f>
        <v/>
      </c>
      <c r="L27" s="40" t="str">
        <f>IF($C27="","",VLOOKUP($C27,CTBat!$G$10:$BR$203,L$4,FALSE))</f>
        <v/>
      </c>
      <c r="M27" s="59" t="str">
        <f>IF($C27="","",VLOOKUP($C27,CTBat!$G$10:$BR$203,M$4,FALSE))</f>
        <v/>
      </c>
      <c r="N27" s="40" t="str">
        <f>IF($C27="","",VLOOKUP($C27,CTBat!$G$10:$BR$203,N$4,FALSE))</f>
        <v/>
      </c>
      <c r="O27" s="40" t="str">
        <f>IF($C27="","",VLOOKUP($C27,CTBat!$G$10:$BR$203,O$4,FALSE))</f>
        <v/>
      </c>
      <c r="P27" s="40" t="str">
        <f>IF($C27="","",VLOOKUP($C27,CTBat!$G$10:$BR$203,P$4,FALSE))</f>
        <v/>
      </c>
      <c r="Q27" s="40" t="str">
        <f>IF($C27="","",VLOOKUP($C27,CTBat!$G$10:$BR$203,Q$4,FALSE))</f>
        <v/>
      </c>
      <c r="R27" s="40" t="str">
        <f>IF($C27="","",VLOOKUP($C27,CTBat!$G$10:$BR$203,R$4,FALSE))</f>
        <v/>
      </c>
      <c r="S27" s="40" t="str">
        <f>IF($C27="","",VLOOKUP($C27,CTBat!$G$10:$BR$203,S$4,FALSE))</f>
        <v/>
      </c>
      <c r="T27" s="42" t="str">
        <f>IF($C27="","",VLOOKUP($C27,CTBat!$G$10:$BR$203,T$4,FALSE))</f>
        <v/>
      </c>
      <c r="U27" s="237" t="str">
        <f t="shared" si="97"/>
        <v/>
      </c>
      <c r="V27" s="237" t="str">
        <f t="shared" si="75"/>
        <v/>
      </c>
      <c r="W27" s="237" t="str">
        <f t="shared" si="94"/>
        <v/>
      </c>
      <c r="X27" s="237" t="str">
        <f t="shared" si="76"/>
        <v/>
      </c>
      <c r="Y27" s="237" t="str">
        <f t="shared" si="77"/>
        <v/>
      </c>
      <c r="Z27" s="237" t="str">
        <f t="shared" si="78"/>
        <v/>
      </c>
      <c r="AA27" s="237" t="str">
        <f t="shared" si="79"/>
        <v/>
      </c>
      <c r="AB27" s="237" t="str">
        <f t="shared" si="80"/>
        <v/>
      </c>
      <c r="AC27" s="237" t="str">
        <f t="shared" si="81"/>
        <v/>
      </c>
      <c r="AD27" s="59" t="str">
        <f>IF($C27="","",VLOOKUP($C27,CTBat!$G$10:$BR$203,AD$4,FALSE))</f>
        <v/>
      </c>
      <c r="AE27" s="40" t="str">
        <f>IF($C27="","",VLOOKUP($C27,CTBat!$G$10:$BR$203,AE$4,FALSE))</f>
        <v/>
      </c>
      <c r="AF27" s="40" t="str">
        <f>IF($C27="","",VLOOKUP($C27,CTBat!$G$10:$BR$203,AF$4,FALSE))</f>
        <v/>
      </c>
      <c r="AG27" s="40" t="str">
        <f>IF($C27="","",VLOOKUP($C27,CTBat!$G$10:$BR$203,AG$4,FALSE))</f>
        <v/>
      </c>
      <c r="AH27" s="40" t="str">
        <f>IF($C27="","",VLOOKUP($C27,CTBat!$G$10:$BR$203,AH$4,FALSE))</f>
        <v/>
      </c>
      <c r="AI27" s="40" t="str">
        <f>IF($C27="","",VLOOKUP($C27,CTBat!$G$10:$BR$203,AI$4,FALSE))</f>
        <v/>
      </c>
      <c r="AJ27" s="42" t="str">
        <f>IF($C27="","",VLOOKUP($C27,CTBat!$G$10:$BR$203,AJ$4,FALSE))</f>
        <v/>
      </c>
      <c r="AK27" s="68" t="str">
        <f t="shared" si="95"/>
        <v/>
      </c>
      <c r="AL27" s="237" t="str">
        <f t="shared" si="82"/>
        <v/>
      </c>
      <c r="AM27" s="237" t="str">
        <f t="shared" si="83"/>
        <v/>
      </c>
      <c r="AN27" s="237" t="str">
        <f t="shared" si="84"/>
        <v/>
      </c>
      <c r="AO27" s="237" t="str">
        <f t="shared" si="85"/>
        <v/>
      </c>
      <c r="AP27" s="237" t="str">
        <f t="shared" si="86"/>
        <v/>
      </c>
      <c r="AQ27" s="237" t="str">
        <f t="shared" si="87"/>
        <v/>
      </c>
      <c r="AR27" s="237" t="str">
        <f t="shared" si="88"/>
        <v/>
      </c>
      <c r="AS27" s="237" t="str">
        <f t="shared" si="89"/>
        <v/>
      </c>
      <c r="AT27" s="237" t="str">
        <f t="shared" si="90"/>
        <v/>
      </c>
      <c r="AU27" s="59" t="str">
        <f>IF($C27="","",VLOOKUP($C27,CTBat!$G$10:$BR$203,AU$4,FALSE))</f>
        <v/>
      </c>
      <c r="AV27" s="40" t="str">
        <f>IF($C27="","",VLOOKUP($C27,CTBat!$G$10:$BR$203,AV$4,FALSE))</f>
        <v/>
      </c>
      <c r="AW27" s="40" t="str">
        <f>IF($C27="","",VLOOKUP($C27,CTBat!$G$10:$BR$203,AW$4,FALSE))</f>
        <v/>
      </c>
      <c r="AX27" s="40" t="str">
        <f>IF($C27="","",VLOOKUP($C27,CTBat!$G$10:$BR$203,AX$4,FALSE))</f>
        <v/>
      </c>
      <c r="AY27" s="42" t="str">
        <f>IF($C27="","",VLOOKUP($C27,CTBat!$G$10:$BR$203,AY$4,FALSE))</f>
        <v/>
      </c>
      <c r="AZ27" s="68" t="str">
        <f t="shared" si="91"/>
        <v/>
      </c>
    </row>
    <row r="29" spans="1:52" ht="196.5">
      <c r="A29" s="25" t="s">
        <v>193</v>
      </c>
      <c r="B29" s="234" t="s">
        <v>133</v>
      </c>
      <c r="C29" s="44" t="str">
        <f>"Player ("&amp;COUNTA(C30:C33)&amp;")"</f>
        <v>Player (0)</v>
      </c>
      <c r="D29" s="44" t="s">
        <v>91</v>
      </c>
      <c r="E29" s="44" t="s">
        <v>101</v>
      </c>
      <c r="F29" s="64" t="str">
        <f>"Strong C Arm ("&amp;SUM(F30:F33)&amp;")"</f>
        <v>Strong C Arm (0)</v>
      </c>
      <c r="G29" s="48" t="s">
        <v>41</v>
      </c>
      <c r="H29" s="48" t="s">
        <v>41</v>
      </c>
      <c r="I29" s="48" t="s">
        <v>41</v>
      </c>
      <c r="J29" s="55" t="s">
        <v>136</v>
      </c>
      <c r="K29" s="47" t="s">
        <v>134</v>
      </c>
      <c r="L29" s="56" t="s">
        <v>135</v>
      </c>
      <c r="M29" s="48" t="s">
        <v>92</v>
      </c>
      <c r="N29" s="48" t="s">
        <v>94</v>
      </c>
      <c r="O29" s="48" t="s">
        <v>95</v>
      </c>
      <c r="P29" s="48" t="s">
        <v>96</v>
      </c>
      <c r="Q29" s="48" t="s">
        <v>97</v>
      </c>
      <c r="R29" s="48" t="s">
        <v>98</v>
      </c>
      <c r="S29" s="48" t="s">
        <v>99</v>
      </c>
      <c r="T29" s="49" t="s">
        <v>100</v>
      </c>
      <c r="U29" s="45" t="s">
        <v>137</v>
      </c>
      <c r="V29" s="45" t="s">
        <v>181</v>
      </c>
      <c r="W29" s="45" t="s">
        <v>138</v>
      </c>
      <c r="X29" s="45" t="s">
        <v>139</v>
      </c>
      <c r="Y29" s="45" t="s">
        <v>140</v>
      </c>
      <c r="Z29" s="45" t="s">
        <v>141</v>
      </c>
      <c r="AA29" s="45" t="s">
        <v>142</v>
      </c>
      <c r="AB29" s="45" t="s">
        <v>144</v>
      </c>
      <c r="AC29" s="60" t="s">
        <v>143</v>
      </c>
      <c r="AD29" s="48" t="s">
        <v>147</v>
      </c>
      <c r="AE29" s="48" t="s">
        <v>148</v>
      </c>
      <c r="AF29" s="48" t="s">
        <v>149</v>
      </c>
      <c r="AG29" s="48" t="s">
        <v>150</v>
      </c>
      <c r="AH29" s="48" t="s">
        <v>29</v>
      </c>
      <c r="AI29" s="48" t="s">
        <v>151</v>
      </c>
      <c r="AJ29" s="49" t="s">
        <v>152</v>
      </c>
      <c r="AK29" s="66" t="s">
        <v>157</v>
      </c>
      <c r="AL29" s="45" t="s">
        <v>137</v>
      </c>
      <c r="AM29" s="45" t="s">
        <v>181</v>
      </c>
      <c r="AN29" s="45" t="s">
        <v>138</v>
      </c>
      <c r="AO29" s="45" t="s">
        <v>139</v>
      </c>
      <c r="AP29" s="45" t="s">
        <v>140</v>
      </c>
      <c r="AQ29" s="45" t="s">
        <v>141</v>
      </c>
      <c r="AR29" s="45" t="s">
        <v>142</v>
      </c>
      <c r="AS29" s="45" t="s">
        <v>144</v>
      </c>
      <c r="AT29" s="60" t="s">
        <v>143</v>
      </c>
      <c r="AU29" s="63" t="s">
        <v>147</v>
      </c>
      <c r="AV29" s="48" t="s">
        <v>148</v>
      </c>
      <c r="AW29" s="48" t="s">
        <v>149</v>
      </c>
      <c r="AX29" s="48" t="s">
        <v>150</v>
      </c>
      <c r="AY29" s="49" t="s">
        <v>29</v>
      </c>
      <c r="AZ29" s="66" t="s">
        <v>197</v>
      </c>
    </row>
    <row r="30" spans="1:52">
      <c r="A30">
        <v>1</v>
      </c>
      <c r="B30" s="36" t="s">
        <v>92</v>
      </c>
      <c r="C30" s="37"/>
      <c r="D30" s="37" t="str">
        <f>IF($C30="","",VLOOKUP($C30,CTBat!$G$10:$BR$203,D$4,FALSE))</f>
        <v/>
      </c>
      <c r="E30" s="37" t="str">
        <f>IF($C30="","",VLOOKUP($C30,CTBat!$G$10:$BR$203,E$4,FALSE))</f>
        <v/>
      </c>
      <c r="F30" s="53" t="str">
        <f>IF($C30="","",IF(J30&gt;5,1,0))</f>
        <v/>
      </c>
      <c r="G30" s="239" t="str">
        <f t="shared" ref="G30:H33" si="144">IF($C30="","","-")</f>
        <v/>
      </c>
      <c r="H30" s="239" t="str">
        <f t="shared" si="144"/>
        <v/>
      </c>
      <c r="I30" s="239" t="str">
        <f>IF($C30="","","-")</f>
        <v/>
      </c>
      <c r="J30" s="58" t="str">
        <f>IF($C30="","",VLOOKUP($C30,CTBat!$G$10:$BR$203,J$4,FALSE))</f>
        <v/>
      </c>
      <c r="K30" s="37" t="str">
        <f>IF($C30="","",VLOOKUP($C30,CTBat!$G$10:$BR$203,K$4,FALSE))</f>
        <v/>
      </c>
      <c r="L30" s="38" t="str">
        <f>IF($C30="","",VLOOKUP($C30,CTBat!$G$10:$BR$203,L$4,FALSE))</f>
        <v/>
      </c>
      <c r="M30" s="37" t="str">
        <f>IF($C30="","",VLOOKUP($C30,CTBat!$G$10:$BR$203,M$4,FALSE))</f>
        <v/>
      </c>
      <c r="N30" s="37" t="str">
        <f>IF($C30="","",VLOOKUP($C30,CTBat!$G$10:$BR$203,N$4,FALSE))</f>
        <v/>
      </c>
      <c r="O30" s="37" t="str">
        <f>IF($C30="","",VLOOKUP($C30,CTBat!$G$10:$BR$203,O$4,FALSE))</f>
        <v/>
      </c>
      <c r="P30" s="37" t="str">
        <f>IF($C30="","",VLOOKUP($C30,CTBat!$G$10:$BR$203,P$4,FALSE))</f>
        <v/>
      </c>
      <c r="Q30" s="37" t="str">
        <f>IF($C30="","",VLOOKUP($C30,CTBat!$G$10:$BR$203,Q$4,FALSE))</f>
        <v/>
      </c>
      <c r="R30" s="37" t="str">
        <f>IF($C30="","",VLOOKUP($C30,CTBat!$G$10:$BR$203,R$4,FALSE))</f>
        <v/>
      </c>
      <c r="S30" s="37" t="str">
        <f>IF($C30="","",VLOOKUP($C30,CTBat!$G$10:$BR$203,S$4,FALSE))</f>
        <v/>
      </c>
      <c r="T30" s="38" t="str">
        <f>IF($C30="","",VLOOKUP($C30,CTBat!$G$10:$BR$203,T$4,FALSE))</f>
        <v/>
      </c>
      <c r="U30" s="239" t="str">
        <f t="shared" ref="U30:U33" si="145">IF($C30="","",IF(OR(AD30+AG30&gt;14,AND(OR(AD30+AG30&gt;12,AND(AD30&gt;6,AG30&gt;6)),AI30&gt;6,OR(AJ30&gt;=AI30,AJ30&gt;6))),1,0))</f>
        <v/>
      </c>
      <c r="V30" s="239" t="str">
        <f t="shared" ref="V30:V33" si="146">IF($C30="","",IF(OR(AND(AD30&gt;6,AH30&gt;6),AD30+AG30&gt;12),1,0))</f>
        <v/>
      </c>
      <c r="W30" s="239" t="str">
        <f t="shared" ref="W30:W33" si="147">IF($C30="","",IF(AND(AD30&gt;6,AF30&gt;6,AG30&gt;6),1,0))</f>
        <v/>
      </c>
      <c r="X30" s="239" t="str">
        <f t="shared" ref="X30:X33" si="148">IF($C30="","",IF(AND(AF30&gt;7,OR(AD30&gt;6,AG30&gt;6)),1,0))</f>
        <v/>
      </c>
      <c r="Y30" s="239" t="str">
        <f t="shared" ref="Y30:Y33" si="149">IF($C30="","",IF(AND(AF30&gt;6,OR(AD30&gt;6,AG30&gt;6)),1,0))</f>
        <v/>
      </c>
      <c r="Z30" s="239" t="str">
        <f t="shared" ref="Z30:Z33" si="150">IF($C30="","",IF(AND(OR(AD30&gt;6,AF30&gt;6),OR(AD30&gt;6,AG30&gt;6)),1,0))</f>
        <v/>
      </c>
      <c r="AA30" s="239" t="str">
        <f t="shared" ref="AA30:AA33" si="151">IF($C30="","",IF(AND(AD30&gt;4,OR(AD30&gt;6,AF30&gt;6,AG30&gt;6)),1,0))</f>
        <v/>
      </c>
      <c r="AB30" s="239" t="str">
        <f t="shared" ref="AB30:AB33" si="152">IF($C30="","",IF(AND(AD30&gt;4,OR(AD30&gt;6,AE30&gt;6,AF30&gt;6,AG30&gt;6)),1,0))</f>
        <v/>
      </c>
      <c r="AC30" s="240" t="str">
        <f t="shared" ref="AC30:AC33" si="153">IF($C30="","",IF(AND(AD30&gt;4,MAX(AD30:AH30)&gt;6),1,0))</f>
        <v/>
      </c>
      <c r="AD30" s="37" t="str">
        <f>IF($C30="","",VLOOKUP($C30,CTBat!$G$10:$BR$203,AD$4,FALSE))</f>
        <v/>
      </c>
      <c r="AE30" s="37" t="str">
        <f>IF($C30="","",VLOOKUP($C30,CTBat!$G$10:$BR$203,AE$4,FALSE))</f>
        <v/>
      </c>
      <c r="AF30" s="37" t="str">
        <f>IF($C30="","",VLOOKUP($C30,CTBat!$G$10:$BR$203,AF$4,FALSE))</f>
        <v/>
      </c>
      <c r="AG30" s="37" t="str">
        <f>IF($C30="","",VLOOKUP($C30,CTBat!$G$10:$BR$203,AG$4,FALSE))</f>
        <v/>
      </c>
      <c r="AH30" s="37" t="str">
        <f>IF($C30="","",VLOOKUP($C30,CTBat!$G$10:$BR$203,AH$4,FALSE))</f>
        <v/>
      </c>
      <c r="AI30" s="37" t="str">
        <f>IF($C30="","",VLOOKUP($C30,CTBat!$G$10:$BR$203,AI$4,FALSE))</f>
        <v/>
      </c>
      <c r="AJ30" s="38" t="str">
        <f>IF($C30="","",VLOOKUP($C30,CTBat!$G$10:$BR$203,AJ$4,FALSE))</f>
        <v/>
      </c>
      <c r="AK30" s="67" t="str">
        <f>IF($C30="","",(5*AD30+4*AF30+3*AG30+2*AE30+1*AH30+0.5*(AVERAGE(AD30:AE30))+0.5*AVERAGE(AD30,AH30)+1*(AVERAGE(AD30,AF30))+1*AVERAGE(AD30,AG30))/(5+4+3+2+1+0.5+0.5+1+1))</f>
        <v/>
      </c>
      <c r="AL30" s="239" t="str">
        <f t="shared" ref="AL30:AL33" si="154">IF($C30="","",IF(AND(OR(AU30+AX30&gt;12,AND(AU30&gt;6,AX30&gt;6)),AI30&gt;6,OR(AJ30&gt;=AI30,AJ30&gt;6)),1,0))</f>
        <v/>
      </c>
      <c r="AM30" s="239" t="str">
        <f t="shared" ref="AM30:AM33" si="155">IF($C30="","",IF(OR(AND(AU30&gt;6,AY30&gt;6),AU30+AX30&gt;12),1,0))</f>
        <v/>
      </c>
      <c r="AN30" s="239" t="str">
        <f t="shared" ref="AN30:AN33" si="156">IF($C30="","",IF(AND(AU30&gt;6,AW30&gt;6,AX30&gt;6),1,0))</f>
        <v/>
      </c>
      <c r="AO30" s="239" t="str">
        <f t="shared" ref="AO30:AO33" si="157">IF($C30="","",IF(AND(AW30&gt;7,OR(AU30&gt;6,AX30&gt;6)),1,0))</f>
        <v/>
      </c>
      <c r="AP30" s="239" t="str">
        <f t="shared" ref="AP30:AP33" si="158">IF($C30="","",IF(AND(AW30&gt;6,OR(AU30&gt;6,AX30&gt;6)),1,0))</f>
        <v/>
      </c>
      <c r="AQ30" s="239" t="str">
        <f t="shared" ref="AQ30:AQ33" si="159">IF($C30="","",IF(AND(OR(AU30&gt;6,AW30&gt;6),OR(AU30&gt;6,AX30&gt;6)),1,0))</f>
        <v/>
      </c>
      <c r="AR30" s="239" t="str">
        <f t="shared" ref="AR30:AR33" si="160">IF($C30="","",IF(AND(AU30&gt;4,OR(AU30&gt;6,AW30&gt;6,AX30&gt;6)),1,0))</f>
        <v/>
      </c>
      <c r="AS30" s="239" t="str">
        <f t="shared" ref="AS30:AS33" si="161">IF($C30="","",IF(AND(AU30&gt;4,OR(AU30&gt;6,AV30&gt;6,AW30&gt;6,AX30&gt;6)),1,0))</f>
        <v/>
      </c>
      <c r="AT30" s="240" t="str">
        <f t="shared" ref="AT30:AT33" si="162">IF($C30="","",IF(AND(AU30&gt;4,MAX(AU30:AY30)&gt;6),1,0))</f>
        <v/>
      </c>
      <c r="AU30" s="58" t="str">
        <f>IF($C30="","",VLOOKUP($C30,CTBat!$G$10:$BR$203,AU$4,FALSE))</f>
        <v/>
      </c>
      <c r="AV30" s="37" t="str">
        <f>IF($C30="","",VLOOKUP($C30,CTBat!$G$10:$BR$203,AV$4,FALSE))</f>
        <v/>
      </c>
      <c r="AW30" s="37" t="str">
        <f>IF($C30="","",VLOOKUP($C30,CTBat!$G$10:$BR$203,AW$4,FALSE))</f>
        <v/>
      </c>
      <c r="AX30" s="37" t="str">
        <f>IF($C30="","",VLOOKUP($C30,CTBat!$G$10:$BR$203,AX$4,FALSE))</f>
        <v/>
      </c>
      <c r="AY30" s="38" t="str">
        <f>IF($C30="","",VLOOKUP($C30,CTBat!$G$10:$BR$203,AY$4,FALSE))</f>
        <v/>
      </c>
      <c r="AZ30" s="67" t="str">
        <f t="shared" ref="AZ30:AZ33" si="163">IF($C30="","",(5*AU30+4*AW30+3*AX30+2*AV30+1*AY30+0.5*(AVERAGE(AU30:AV30))+0.5*AVERAGE(AU30,AY30)+1*(AVERAGE(AU30,AW30))+1*AVERAGE(AU30,AX30))/(5+4+3+2+1+0.5+0.5+1+1))</f>
        <v/>
      </c>
    </row>
    <row r="31" spans="1:52">
      <c r="A31">
        <v>2</v>
      </c>
      <c r="B31" s="36" t="s">
        <v>101</v>
      </c>
      <c r="C31" s="37"/>
      <c r="D31" s="37" t="str">
        <f>IF($C31="","",VLOOKUP($C31,CTBat!$G$10:$BR$203,D$4,FALSE))</f>
        <v/>
      </c>
      <c r="E31" s="37" t="str">
        <f>IF($C31="","",VLOOKUP($C31,CTBat!$G$10:$BR$203,E$4,FALSE))</f>
        <v/>
      </c>
      <c r="F31" s="53" t="str">
        <f>IF($C31="","",IF(J31&gt;5,1,0))</f>
        <v/>
      </c>
      <c r="G31" s="239" t="str">
        <f t="shared" si="144"/>
        <v/>
      </c>
      <c r="H31" s="239" t="str">
        <f t="shared" si="144"/>
        <v/>
      </c>
      <c r="I31" s="239" t="str">
        <f>IF($C31="","","-")</f>
        <v/>
      </c>
      <c r="J31" s="58" t="str">
        <f>IF($C31="","",VLOOKUP($C31,CTBat!$G$10:$BR$203,J$4,FALSE))</f>
        <v/>
      </c>
      <c r="K31" s="37" t="str">
        <f>IF($C31="","",VLOOKUP($C31,CTBat!$G$10:$BR$203,K$4,FALSE))</f>
        <v/>
      </c>
      <c r="L31" s="38" t="str">
        <f>IF($C31="","",VLOOKUP($C31,CTBat!$G$10:$BR$203,L$4,FALSE))</f>
        <v/>
      </c>
      <c r="M31" s="37" t="str">
        <f>IF($C31="","",VLOOKUP($C31,CTBat!$G$10:$BR$203,M$4,FALSE))</f>
        <v/>
      </c>
      <c r="N31" s="37" t="str">
        <f>IF($C31="","",VLOOKUP($C31,CTBat!$G$10:$BR$203,N$4,FALSE))</f>
        <v/>
      </c>
      <c r="O31" s="37" t="str">
        <f>IF($C31="","",VLOOKUP($C31,CTBat!$G$10:$BR$203,O$4,FALSE))</f>
        <v/>
      </c>
      <c r="P31" s="37" t="str">
        <f>IF($C31="","",VLOOKUP($C31,CTBat!$G$10:$BR$203,P$4,FALSE))</f>
        <v/>
      </c>
      <c r="Q31" s="37" t="str">
        <f>IF($C31="","",VLOOKUP($C31,CTBat!$G$10:$BR$203,Q$4,FALSE))</f>
        <v/>
      </c>
      <c r="R31" s="37" t="str">
        <f>IF($C31="","",VLOOKUP($C31,CTBat!$G$10:$BR$203,R$4,FALSE))</f>
        <v/>
      </c>
      <c r="S31" s="37" t="str">
        <f>IF($C31="","",VLOOKUP($C31,CTBat!$G$10:$BR$203,S$4,FALSE))</f>
        <v/>
      </c>
      <c r="T31" s="38" t="str">
        <f>IF($C31="","",VLOOKUP($C31,CTBat!$G$10:$BR$203,T$4,FALSE))</f>
        <v/>
      </c>
      <c r="U31" s="239" t="str">
        <f t="shared" si="145"/>
        <v/>
      </c>
      <c r="V31" s="239" t="str">
        <f t="shared" si="146"/>
        <v/>
      </c>
      <c r="W31" s="239" t="str">
        <f t="shared" si="147"/>
        <v/>
      </c>
      <c r="X31" s="239" t="str">
        <f t="shared" si="148"/>
        <v/>
      </c>
      <c r="Y31" s="239" t="str">
        <f t="shared" si="149"/>
        <v/>
      </c>
      <c r="Z31" s="239" t="str">
        <f t="shared" si="150"/>
        <v/>
      </c>
      <c r="AA31" s="239" t="str">
        <f t="shared" si="151"/>
        <v/>
      </c>
      <c r="AB31" s="239" t="str">
        <f t="shared" si="152"/>
        <v/>
      </c>
      <c r="AC31" s="240" t="str">
        <f t="shared" si="153"/>
        <v/>
      </c>
      <c r="AD31" s="37" t="str">
        <f>IF($C31="","",VLOOKUP($C31,CTBat!$G$10:$BR$203,AD$4,FALSE))</f>
        <v/>
      </c>
      <c r="AE31" s="37" t="str">
        <f>IF($C31="","",VLOOKUP($C31,CTBat!$G$10:$BR$203,AE$4,FALSE))</f>
        <v/>
      </c>
      <c r="AF31" s="37" t="str">
        <f>IF($C31="","",VLOOKUP($C31,CTBat!$G$10:$BR$203,AF$4,FALSE))</f>
        <v/>
      </c>
      <c r="AG31" s="37" t="str">
        <f>IF($C31="","",VLOOKUP($C31,CTBat!$G$10:$BR$203,AG$4,FALSE))</f>
        <v/>
      </c>
      <c r="AH31" s="37" t="str">
        <f>IF($C31="","",VLOOKUP($C31,CTBat!$G$10:$BR$203,AH$4,FALSE))</f>
        <v/>
      </c>
      <c r="AI31" s="37" t="str">
        <f>IF($C31="","",VLOOKUP($C31,CTBat!$G$10:$BR$203,AI$4,FALSE))</f>
        <v/>
      </c>
      <c r="AJ31" s="38" t="str">
        <f>IF($C31="","",VLOOKUP($C31,CTBat!$G$10:$BR$203,AJ$4,FALSE))</f>
        <v/>
      </c>
      <c r="AK31" s="67" t="str">
        <f t="shared" ref="AK31:AK33" si="164">IF($C31="","",(5*AD31+4*AF31+3*AG31+2*AE31+1*AH31+0.5*(AVERAGE(AD31:AE31))+0.5*AVERAGE(AD31,AH31)+1*(AVERAGE(AD31,AF31))+1*AVERAGE(AD31,AG31))/(5+4+3+2+1+0.5+0.5+1+1))</f>
        <v/>
      </c>
      <c r="AL31" s="239" t="str">
        <f t="shared" si="154"/>
        <v/>
      </c>
      <c r="AM31" s="239" t="str">
        <f t="shared" si="155"/>
        <v/>
      </c>
      <c r="AN31" s="239" t="str">
        <f t="shared" si="156"/>
        <v/>
      </c>
      <c r="AO31" s="239" t="str">
        <f t="shared" si="157"/>
        <v/>
      </c>
      <c r="AP31" s="239" t="str">
        <f t="shared" si="158"/>
        <v/>
      </c>
      <c r="AQ31" s="239" t="str">
        <f t="shared" si="159"/>
        <v/>
      </c>
      <c r="AR31" s="239" t="str">
        <f t="shared" si="160"/>
        <v/>
      </c>
      <c r="AS31" s="239" t="str">
        <f t="shared" si="161"/>
        <v/>
      </c>
      <c r="AT31" s="240" t="str">
        <f t="shared" si="162"/>
        <v/>
      </c>
      <c r="AU31" s="58" t="str">
        <f>IF($C31="","",VLOOKUP($C31,CTBat!$G$10:$BR$203,AU$4,FALSE))</f>
        <v/>
      </c>
      <c r="AV31" s="37" t="str">
        <f>IF($C31="","",VLOOKUP($C31,CTBat!$G$10:$BR$203,AV$4,FALSE))</f>
        <v/>
      </c>
      <c r="AW31" s="37" t="str">
        <f>IF($C31="","",VLOOKUP($C31,CTBat!$G$10:$BR$203,AW$4,FALSE))</f>
        <v/>
      </c>
      <c r="AX31" s="37" t="str">
        <f>IF($C31="","",VLOOKUP($C31,CTBat!$G$10:$BR$203,AX$4,FALSE))</f>
        <v/>
      </c>
      <c r="AY31" s="38" t="str">
        <f>IF($C31="","",VLOOKUP($C31,CTBat!$G$10:$BR$203,AY$4,FALSE))</f>
        <v/>
      </c>
      <c r="AZ31" s="67" t="str">
        <f t="shared" si="163"/>
        <v/>
      </c>
    </row>
    <row r="32" spans="1:52">
      <c r="A32">
        <v>3</v>
      </c>
      <c r="B32" s="36" t="s">
        <v>101</v>
      </c>
      <c r="C32" s="37"/>
      <c r="D32" s="37" t="str">
        <f>IF($C32="","",VLOOKUP($C32,CTBat!$G$10:$BR$203,D$4,FALSE))</f>
        <v/>
      </c>
      <c r="E32" s="37" t="str">
        <f>IF($C32="","",VLOOKUP($C32,CTBat!$G$10:$BR$203,E$4,FALSE))</f>
        <v/>
      </c>
      <c r="F32" s="53" t="str">
        <f>IF($C32="","",IF(J32&gt;5,1,0))</f>
        <v/>
      </c>
      <c r="G32" s="275" t="str">
        <f t="shared" si="144"/>
        <v/>
      </c>
      <c r="H32" s="275" t="str">
        <f t="shared" si="144"/>
        <v/>
      </c>
      <c r="I32" s="275" t="str">
        <f>IF($C32="","","-")</f>
        <v/>
      </c>
      <c r="J32" s="58" t="str">
        <f>IF($C32="","",VLOOKUP($C32,CTBat!$G$10:$BR$203,J$4,FALSE))</f>
        <v/>
      </c>
      <c r="K32" s="37" t="str">
        <f>IF($C32="","",VLOOKUP($C32,CTBat!$G$10:$BR$203,K$4,FALSE))</f>
        <v/>
      </c>
      <c r="L32" s="38" t="str">
        <f>IF($C32="","",VLOOKUP($C32,CTBat!$G$10:$BR$203,L$4,FALSE))</f>
        <v/>
      </c>
      <c r="M32" s="37" t="str">
        <f>IF($C32="","",VLOOKUP($C32,CTBat!$G$10:$BR$203,M$4,FALSE))</f>
        <v/>
      </c>
      <c r="N32" s="37" t="str">
        <f>IF($C32="","",VLOOKUP($C32,CTBat!$G$10:$BR$203,N$4,FALSE))</f>
        <v/>
      </c>
      <c r="O32" s="37" t="str">
        <f>IF($C32="","",VLOOKUP($C32,CTBat!$G$10:$BR$203,O$4,FALSE))</f>
        <v/>
      </c>
      <c r="P32" s="37" t="str">
        <f>IF($C32="","",VLOOKUP($C32,CTBat!$G$10:$BR$203,P$4,FALSE))</f>
        <v/>
      </c>
      <c r="Q32" s="37" t="str">
        <f>IF($C32="","",VLOOKUP($C32,CTBat!$G$10:$BR$203,Q$4,FALSE))</f>
        <v/>
      </c>
      <c r="R32" s="37" t="str">
        <f>IF($C32="","",VLOOKUP($C32,CTBat!$G$10:$BR$203,R$4,FALSE))</f>
        <v/>
      </c>
      <c r="S32" s="37" t="str">
        <f>IF($C32="","",VLOOKUP($C32,CTBat!$G$10:$BR$203,S$4,FALSE))</f>
        <v/>
      </c>
      <c r="T32" s="38" t="str">
        <f>IF($C32="","",VLOOKUP($C32,CTBat!$G$10:$BR$203,T$4,FALSE))</f>
        <v/>
      </c>
      <c r="U32" s="275" t="str">
        <f t="shared" ref="U32" si="165">IF($C32="","",IF(OR(AD32+AG32&gt;14,AND(OR(AD32+AG32&gt;12,AND(AD32&gt;6,AG32&gt;6)),AI32&gt;6,OR(AJ32&gt;=AI32,AJ32&gt;6))),1,0))</f>
        <v/>
      </c>
      <c r="V32" s="275" t="str">
        <f t="shared" ref="V32" si="166">IF($C32="","",IF(OR(AND(AD32&gt;6,AH32&gt;6),AD32+AG32&gt;12),1,0))</f>
        <v/>
      </c>
      <c r="W32" s="275" t="str">
        <f t="shared" ref="W32" si="167">IF($C32="","",IF(AND(AD32&gt;6,AF32&gt;6,AG32&gt;6),1,0))</f>
        <v/>
      </c>
      <c r="X32" s="275" t="str">
        <f t="shared" ref="X32" si="168">IF($C32="","",IF(AND(AF32&gt;7,OR(AD32&gt;6,AG32&gt;6)),1,0))</f>
        <v/>
      </c>
      <c r="Y32" s="275" t="str">
        <f t="shared" ref="Y32" si="169">IF($C32="","",IF(AND(AF32&gt;6,OR(AD32&gt;6,AG32&gt;6)),1,0))</f>
        <v/>
      </c>
      <c r="Z32" s="275" t="str">
        <f t="shared" ref="Z32" si="170">IF($C32="","",IF(AND(OR(AD32&gt;6,AF32&gt;6),OR(AD32&gt;6,AG32&gt;6)),1,0))</f>
        <v/>
      </c>
      <c r="AA32" s="275" t="str">
        <f t="shared" ref="AA32" si="171">IF($C32="","",IF(AND(AD32&gt;4,OR(AD32&gt;6,AF32&gt;6,AG32&gt;6)),1,0))</f>
        <v/>
      </c>
      <c r="AB32" s="275" t="str">
        <f t="shared" ref="AB32" si="172">IF($C32="","",IF(AND(AD32&gt;4,OR(AD32&gt;6,AE32&gt;6,AF32&gt;6,AG32&gt;6)),1,0))</f>
        <v/>
      </c>
      <c r="AC32" s="276" t="str">
        <f t="shared" ref="AC32" si="173">IF($C32="","",IF(AND(AD32&gt;4,MAX(AD32:AH32)&gt;6),1,0))</f>
        <v/>
      </c>
      <c r="AD32" s="37" t="str">
        <f>IF($C32="","",VLOOKUP($C32,CTBat!$G$10:$BR$203,AD$4,FALSE))</f>
        <v/>
      </c>
      <c r="AE32" s="37" t="str">
        <f>IF($C32="","",VLOOKUP($C32,CTBat!$G$10:$BR$203,AE$4,FALSE))</f>
        <v/>
      </c>
      <c r="AF32" s="37" t="str">
        <f>IF($C32="","",VLOOKUP($C32,CTBat!$G$10:$BR$203,AF$4,FALSE))</f>
        <v/>
      </c>
      <c r="AG32" s="37" t="str">
        <f>IF($C32="","",VLOOKUP($C32,CTBat!$G$10:$BR$203,AG$4,FALSE))</f>
        <v/>
      </c>
      <c r="AH32" s="37" t="str">
        <f>IF($C32="","",VLOOKUP($C32,CTBat!$G$10:$BR$203,AH$4,FALSE))</f>
        <v/>
      </c>
      <c r="AI32" s="37" t="str">
        <f>IF($C32="","",VLOOKUP($C32,CTBat!$G$10:$BR$203,AI$4,FALSE))</f>
        <v/>
      </c>
      <c r="AJ32" s="38" t="str">
        <f>IF($C32="","",VLOOKUP($C32,CTBat!$G$10:$BR$203,AJ$4,FALSE))</f>
        <v/>
      </c>
      <c r="AK32" s="67" t="str">
        <f t="shared" ref="AK32" si="174">IF($C32="","",(5*AD32+4*AF32+3*AG32+2*AE32+1*AH32+0.5*(AVERAGE(AD32:AE32))+0.5*AVERAGE(AD32,AH32)+1*(AVERAGE(AD32,AF32))+1*AVERAGE(AD32,AG32))/(5+4+3+2+1+0.5+0.5+1+1))</f>
        <v/>
      </c>
      <c r="AL32" s="275" t="str">
        <f t="shared" ref="AL32" si="175">IF($C32="","",IF(AND(OR(AU32+AX32&gt;12,AND(AU32&gt;6,AX32&gt;6)),AI32&gt;6,OR(AJ32&gt;=AI32,AJ32&gt;6)),1,0))</f>
        <v/>
      </c>
      <c r="AM32" s="275" t="str">
        <f t="shared" ref="AM32" si="176">IF($C32="","",IF(OR(AND(AU32&gt;6,AY32&gt;6),AU32+AX32&gt;12),1,0))</f>
        <v/>
      </c>
      <c r="AN32" s="275" t="str">
        <f t="shared" ref="AN32" si="177">IF($C32="","",IF(AND(AU32&gt;6,AW32&gt;6,AX32&gt;6),1,0))</f>
        <v/>
      </c>
      <c r="AO32" s="275" t="str">
        <f t="shared" ref="AO32" si="178">IF($C32="","",IF(AND(AW32&gt;7,OR(AU32&gt;6,AX32&gt;6)),1,0))</f>
        <v/>
      </c>
      <c r="AP32" s="275" t="str">
        <f t="shared" ref="AP32" si="179">IF($C32="","",IF(AND(AW32&gt;6,OR(AU32&gt;6,AX32&gt;6)),1,0))</f>
        <v/>
      </c>
      <c r="AQ32" s="275" t="str">
        <f t="shared" ref="AQ32" si="180">IF($C32="","",IF(AND(OR(AU32&gt;6,AW32&gt;6),OR(AU32&gt;6,AX32&gt;6)),1,0))</f>
        <v/>
      </c>
      <c r="AR32" s="275" t="str">
        <f t="shared" ref="AR32" si="181">IF($C32="","",IF(AND(AU32&gt;4,OR(AU32&gt;6,AW32&gt;6,AX32&gt;6)),1,0))</f>
        <v/>
      </c>
      <c r="AS32" s="275" t="str">
        <f t="shared" ref="AS32" si="182">IF($C32="","",IF(AND(AU32&gt;4,OR(AU32&gt;6,AV32&gt;6,AW32&gt;6,AX32&gt;6)),1,0))</f>
        <v/>
      </c>
      <c r="AT32" s="276" t="str">
        <f t="shared" ref="AT32" si="183">IF($C32="","",IF(AND(AU32&gt;4,MAX(AU32:AY32)&gt;6),1,0))</f>
        <v/>
      </c>
      <c r="AU32" s="58" t="str">
        <f>IF($C32="","",VLOOKUP($C32,CTBat!$G$10:$BR$203,AU$4,FALSE))</f>
        <v/>
      </c>
      <c r="AV32" s="37" t="str">
        <f>IF($C32="","",VLOOKUP($C32,CTBat!$G$10:$BR$203,AV$4,FALSE))</f>
        <v/>
      </c>
      <c r="AW32" s="37" t="str">
        <f>IF($C32="","",VLOOKUP($C32,CTBat!$G$10:$BR$203,AW$4,FALSE))</f>
        <v/>
      </c>
      <c r="AX32" s="37" t="str">
        <f>IF($C32="","",VLOOKUP($C32,CTBat!$G$10:$BR$203,AX$4,FALSE))</f>
        <v/>
      </c>
      <c r="AY32" s="38" t="str">
        <f>IF($C32="","",VLOOKUP($C32,CTBat!$G$10:$BR$203,AY$4,FALSE))</f>
        <v/>
      </c>
      <c r="AZ32" s="67" t="str">
        <f t="shared" ref="AZ32" si="184">IF($C32="","",(5*AU32+4*AW32+3*AX32+2*AV32+1*AY32+0.5*(AVERAGE(AU32:AV32))+0.5*AVERAGE(AU32,AY32)+1*(AVERAGE(AU32,AW32))+1*AVERAGE(AU32,AX32))/(5+4+3+2+1+0.5+0.5+1+1))</f>
        <v/>
      </c>
    </row>
    <row r="33" spans="1:52">
      <c r="A33">
        <v>4</v>
      </c>
      <c r="B33" s="39" t="s">
        <v>101</v>
      </c>
      <c r="C33" s="40"/>
      <c r="D33" s="40" t="str">
        <f>IF($C33="","",VLOOKUP($C33,CTBat!$G$10:$BR$203,D$4,FALSE))</f>
        <v/>
      </c>
      <c r="E33" s="40" t="str">
        <f>IF($C33="","",VLOOKUP($C33,CTBat!$G$10:$BR$203,E$4,FALSE))</f>
        <v/>
      </c>
      <c r="F33" s="54" t="str">
        <f>IF($C33="","",IF(J33&gt;5,1,0))</f>
        <v/>
      </c>
      <c r="G33" s="237" t="str">
        <f t="shared" si="144"/>
        <v/>
      </c>
      <c r="H33" s="237" t="str">
        <f t="shared" si="144"/>
        <v/>
      </c>
      <c r="I33" s="237" t="str">
        <f>IF($C33="","","-")</f>
        <v/>
      </c>
      <c r="J33" s="59" t="str">
        <f>IF($C33="","",VLOOKUP($C33,CTBat!$G$10:$BR$203,J$4,FALSE))</f>
        <v/>
      </c>
      <c r="K33" s="40" t="str">
        <f>IF($C33="","",VLOOKUP($C33,CTBat!$G$10:$BR$203,K$4,FALSE))</f>
        <v/>
      </c>
      <c r="L33" s="42" t="str">
        <f>IF($C33="","",VLOOKUP($C33,CTBat!$G$10:$BR$203,L$4,FALSE))</f>
        <v/>
      </c>
      <c r="M33" s="40" t="str">
        <f>IF($C33="","",VLOOKUP($C33,CTBat!$G$10:$BR$203,M$4,FALSE))</f>
        <v/>
      </c>
      <c r="N33" s="40" t="str">
        <f>IF($C33="","",VLOOKUP($C33,CTBat!$G$10:$BR$203,N$4,FALSE))</f>
        <v/>
      </c>
      <c r="O33" s="40" t="str">
        <f>IF($C33="","",VLOOKUP($C33,CTBat!$G$10:$BR$203,O$4,FALSE))</f>
        <v/>
      </c>
      <c r="P33" s="40" t="str">
        <f>IF($C33="","",VLOOKUP($C33,CTBat!$G$10:$BR$203,P$4,FALSE))</f>
        <v/>
      </c>
      <c r="Q33" s="40" t="str">
        <f>IF($C33="","",VLOOKUP($C33,CTBat!$G$10:$BR$203,Q$4,FALSE))</f>
        <v/>
      </c>
      <c r="R33" s="40" t="str">
        <f>IF($C33="","",VLOOKUP($C33,CTBat!$G$10:$BR$203,R$4,FALSE))</f>
        <v/>
      </c>
      <c r="S33" s="40" t="str">
        <f>IF($C33="","",VLOOKUP($C33,CTBat!$G$10:$BR$203,S$4,FALSE))</f>
        <v/>
      </c>
      <c r="T33" s="42" t="str">
        <f>IF($C33="","",VLOOKUP($C33,CTBat!$G$10:$BR$203,T$4,FALSE))</f>
        <v/>
      </c>
      <c r="U33" s="237" t="str">
        <f t="shared" si="145"/>
        <v/>
      </c>
      <c r="V33" s="237" t="str">
        <f t="shared" si="146"/>
        <v/>
      </c>
      <c r="W33" s="237" t="str">
        <f t="shared" si="147"/>
        <v/>
      </c>
      <c r="X33" s="237" t="str">
        <f t="shared" si="148"/>
        <v/>
      </c>
      <c r="Y33" s="237" t="str">
        <f t="shared" si="149"/>
        <v/>
      </c>
      <c r="Z33" s="237" t="str">
        <f t="shared" si="150"/>
        <v/>
      </c>
      <c r="AA33" s="237" t="str">
        <f t="shared" si="151"/>
        <v/>
      </c>
      <c r="AB33" s="237" t="str">
        <f t="shared" si="152"/>
        <v/>
      </c>
      <c r="AC33" s="238" t="str">
        <f t="shared" si="153"/>
        <v/>
      </c>
      <c r="AD33" s="40" t="str">
        <f>IF($C33="","",VLOOKUP($C33,CTBat!$G$10:$BR$203,AD$4,FALSE))</f>
        <v/>
      </c>
      <c r="AE33" s="40" t="str">
        <f>IF($C33="","",VLOOKUP($C33,CTBat!$G$10:$BR$203,AE$4,FALSE))</f>
        <v/>
      </c>
      <c r="AF33" s="40" t="str">
        <f>IF($C33="","",VLOOKUP($C33,CTBat!$G$10:$BR$203,AF$4,FALSE))</f>
        <v/>
      </c>
      <c r="AG33" s="40" t="str">
        <f>IF($C33="","",VLOOKUP($C33,CTBat!$G$10:$BR$203,AG$4,FALSE))</f>
        <v/>
      </c>
      <c r="AH33" s="40" t="str">
        <f>IF($C33="","",VLOOKUP($C33,CTBat!$G$10:$BR$203,AH$4,FALSE))</f>
        <v/>
      </c>
      <c r="AI33" s="40" t="str">
        <f>IF($C33="","",VLOOKUP($C33,CTBat!$G$10:$BR$203,AI$4,FALSE))</f>
        <v/>
      </c>
      <c r="AJ33" s="42" t="str">
        <f>IF($C33="","",VLOOKUP($C33,CTBat!$G$10:$BR$203,AJ$4,FALSE))</f>
        <v/>
      </c>
      <c r="AK33" s="68" t="str">
        <f t="shared" si="164"/>
        <v/>
      </c>
      <c r="AL33" s="237" t="str">
        <f t="shared" si="154"/>
        <v/>
      </c>
      <c r="AM33" s="237" t="str">
        <f t="shared" si="155"/>
        <v/>
      </c>
      <c r="AN33" s="237" t="str">
        <f t="shared" si="156"/>
        <v/>
      </c>
      <c r="AO33" s="237" t="str">
        <f t="shared" si="157"/>
        <v/>
      </c>
      <c r="AP33" s="237" t="str">
        <f t="shared" si="158"/>
        <v/>
      </c>
      <c r="AQ33" s="237" t="str">
        <f t="shared" si="159"/>
        <v/>
      </c>
      <c r="AR33" s="237" t="str">
        <f t="shared" si="160"/>
        <v/>
      </c>
      <c r="AS33" s="237" t="str">
        <f t="shared" si="161"/>
        <v/>
      </c>
      <c r="AT33" s="238" t="str">
        <f t="shared" si="162"/>
        <v/>
      </c>
      <c r="AU33" s="59" t="str">
        <f>IF($C33="","",VLOOKUP($C33,CTBat!$G$10:$BR$203,AU$4,FALSE))</f>
        <v/>
      </c>
      <c r="AV33" s="40" t="str">
        <f>IF($C33="","",VLOOKUP($C33,CTBat!$G$10:$BR$203,AV$4,FALSE))</f>
        <v/>
      </c>
      <c r="AW33" s="40" t="str">
        <f>IF($C33="","",VLOOKUP($C33,CTBat!$G$10:$BR$203,AW$4,FALSE))</f>
        <v/>
      </c>
      <c r="AX33" s="40" t="str">
        <f>IF($C33="","",VLOOKUP($C33,CTBat!$G$10:$BR$203,AX$4,FALSE))</f>
        <v/>
      </c>
      <c r="AY33" s="42" t="str">
        <f>IF($C33="","",VLOOKUP($C33,CTBat!$G$10:$BR$203,AY$4,FALSE))</f>
        <v/>
      </c>
      <c r="AZ33" s="68" t="str">
        <f t="shared" si="163"/>
        <v/>
      </c>
    </row>
    <row r="35" spans="1:52" s="1" customFormat="1">
      <c r="B35" s="234" t="s">
        <v>155</v>
      </c>
      <c r="C35" s="44" t="s">
        <v>118</v>
      </c>
      <c r="D35" s="44" t="s">
        <v>119</v>
      </c>
      <c r="E35" s="50" t="s">
        <v>101</v>
      </c>
      <c r="F35" s="235" t="s">
        <v>156</v>
      </c>
      <c r="G35" s="235" t="s">
        <v>160</v>
      </c>
      <c r="H35" s="236" t="s">
        <v>158</v>
      </c>
      <c r="I35" s="88" t="s">
        <v>182</v>
      </c>
      <c r="J35" s="234" t="s">
        <v>92</v>
      </c>
      <c r="K35" s="235" t="s">
        <v>145</v>
      </c>
      <c r="L35" s="235" t="s">
        <v>146</v>
      </c>
      <c r="M35" s="235" t="s">
        <v>203</v>
      </c>
      <c r="N35" s="235" t="s">
        <v>93</v>
      </c>
      <c r="O35" s="234" t="s">
        <v>204</v>
      </c>
      <c r="P35" s="236" t="s">
        <v>205</v>
      </c>
      <c r="Q35" s="234" t="s">
        <v>213</v>
      </c>
      <c r="R35" s="87" t="s">
        <v>231</v>
      </c>
      <c r="T35" s="234" t="s">
        <v>119</v>
      </c>
      <c r="U35" s="234" t="s">
        <v>214</v>
      </c>
      <c r="V35" s="236" t="s">
        <v>235</v>
      </c>
      <c r="W35" s="235" t="s">
        <v>213</v>
      </c>
      <c r="X35" s="236" t="s">
        <v>231</v>
      </c>
      <c r="AG35" s="336" t="s">
        <v>348</v>
      </c>
      <c r="AH35" s="337"/>
      <c r="AI35" s="337"/>
      <c r="AJ35" s="337"/>
      <c r="AK35" s="337"/>
      <c r="AL35" s="337"/>
      <c r="AM35" s="337"/>
      <c r="AN35" s="337"/>
      <c r="AO35" s="337"/>
      <c r="AP35" s="337"/>
      <c r="AQ35" s="337"/>
      <c r="AR35" s="337"/>
      <c r="AS35" s="337"/>
      <c r="AT35" s="338"/>
    </row>
    <row r="36" spans="1:52">
      <c r="B36" s="36">
        <v>1</v>
      </c>
      <c r="C36" s="57"/>
      <c r="D36" s="33" t="s">
        <v>99</v>
      </c>
      <c r="E36" s="38" t="str">
        <f t="shared" ref="E36:E44" si="185">IF($C36="","",VLOOKUP($C36,$C$6:$AK$33,$E$4-2,FALSE))</f>
        <v/>
      </c>
      <c r="F36" s="239" t="str">
        <f t="shared" ref="F36:F44" si="186">IF($C36="","",VLOOKUP($C36,$C$6:$AK$33,18+$B36,FALSE))</f>
        <v/>
      </c>
      <c r="G36" s="239" t="str">
        <f t="shared" ref="G36:G44" si="187">IF($C36="","",IF(VLOOKUP($C36,$C$6:$AK$33,18+3,FALSE)=1,3,IF(VLOOKUP($C36,$C$6:$AK$33,18+4,FALSE)=1,4,IF(VLOOKUP($C36,$C$6:$AK$33,18+1,FALSE)=1,1,IF(VLOOKUP($C36,$C$6:$AK$33,18+5,FALSE)=1,5,IF(VLOOKUP($C36,$C$6:$AK$33,18+2,FALSE)=1,2,IF(VLOOKUP($C36,$C$6:$AK$33,18+6,FALSE)=1,6,IF(VLOOKUP($C36,$C$6:$AK$33,18+7,FALSE)=1,7,IF(VLOOKUP($C36,$C$6:$AK$33,18+8,FALSE)=1,8,9)))))))))</f>
        <v/>
      </c>
      <c r="H36" s="8" t="str">
        <f t="shared" ref="H36:H44" si="188">IF($C36="","",VLOOKUP($C36,$C$6:$AK$33,35,FALSE))</f>
        <v/>
      </c>
      <c r="I36" s="89">
        <v>3</v>
      </c>
      <c r="J36" s="53" t="str">
        <f t="shared" ref="J36:J44" si="189">IF($C36="","",VLOOKUP($C36,$C$6:$AZ$33,17+AD$4,FALSE))</f>
        <v/>
      </c>
      <c r="K36" s="239" t="str">
        <f t="shared" ref="K36:K44" si="190">IF($C36="","",VLOOKUP($C36,$C$6:$AZ$33,17+AE$4,FALSE))</f>
        <v/>
      </c>
      <c r="L36" s="239" t="str">
        <f t="shared" ref="L36:L44" si="191">IF($C36="","",VLOOKUP($C36,$C$6:$AZ$33,17+AF$4,FALSE))</f>
        <v/>
      </c>
      <c r="M36" s="239" t="str">
        <f t="shared" ref="M36:M44" si="192">IF($C36="","",VLOOKUP($C36,$C$6:$AZ$33,17+AG$4,FALSE))</f>
        <v/>
      </c>
      <c r="N36" s="239" t="str">
        <f t="shared" ref="N36:N44" si="193">IF($C36="","",VLOOKUP($C36,$C$6:$AZ$33,17+AH$4,FALSE))</f>
        <v/>
      </c>
      <c r="O36" s="53" t="str">
        <f t="shared" ref="O36:O44" si="194">IF($C36="","",VLOOKUP($C36,$C$6:$AZ$33,1+AI$4,FALSE))</f>
        <v/>
      </c>
      <c r="P36" s="240" t="str">
        <f t="shared" ref="P36:P44" si="195">IF($C36="","",VLOOKUP($C36,$C$6:$AZ$33,1+AJ$4,FALSE))</f>
        <v/>
      </c>
      <c r="Q36" s="116" t="str">
        <f t="shared" ref="Q36:Q44" si="196">IF($C36="","",IF($D36="DH","-",VLOOKUP($C36,$C$5:$AZ$33,9+VLOOKUP($D36,$T$35:$U$43,2,FALSE),FALSE)))</f>
        <v/>
      </c>
      <c r="R36" s="101" t="str">
        <f t="shared" ref="R36:R44" si="197">IF($C36="","",IF($D36="DH","-",VLOOKUP($C36,$C$5:$AZ$33,VLOOKUP($D36,$T$35:$V$43,3,FALSE),FALSE)))</f>
        <v/>
      </c>
      <c r="T36" s="53" t="s">
        <v>92</v>
      </c>
      <c r="U36" s="53">
        <v>2</v>
      </c>
      <c r="V36" s="240">
        <v>8</v>
      </c>
      <c r="W36" s="239" t="str">
        <f>VLOOKUP($T36,$D$35:$R$44,14,FALSE)</f>
        <v/>
      </c>
      <c r="X36" s="240" t="str">
        <f>VLOOKUP($T36,$D$35:$R$44,15,FALSE)</f>
        <v/>
      </c>
      <c r="AG36" s="201">
        <v>1</v>
      </c>
      <c r="AH36" s="331" t="s">
        <v>343</v>
      </c>
      <c r="AI36" s="331"/>
      <c r="AJ36" s="331"/>
      <c r="AK36" s="331"/>
      <c r="AL36" s="331"/>
      <c r="AM36" s="331"/>
      <c r="AN36" s="331"/>
      <c r="AO36" s="331"/>
      <c r="AP36" s="331"/>
      <c r="AQ36" s="331"/>
      <c r="AR36" s="331"/>
      <c r="AS36" s="331"/>
      <c r="AT36" s="332"/>
    </row>
    <row r="37" spans="1:52">
      <c r="B37" s="36">
        <v>2</v>
      </c>
      <c r="C37" s="58"/>
      <c r="D37" s="37" t="s">
        <v>18</v>
      </c>
      <c r="E37" s="38" t="str">
        <f t="shared" si="185"/>
        <v/>
      </c>
      <c r="F37" s="239" t="str">
        <f t="shared" si="186"/>
        <v/>
      </c>
      <c r="G37" s="239" t="str">
        <f t="shared" si="187"/>
        <v/>
      </c>
      <c r="H37" s="8" t="str">
        <f t="shared" si="188"/>
        <v/>
      </c>
      <c r="I37" s="89">
        <v>5</v>
      </c>
      <c r="J37" s="53" t="str">
        <f t="shared" si="189"/>
        <v/>
      </c>
      <c r="K37" s="239" t="str">
        <f t="shared" si="190"/>
        <v/>
      </c>
      <c r="L37" s="239" t="str">
        <f t="shared" si="191"/>
        <v/>
      </c>
      <c r="M37" s="239" t="str">
        <f t="shared" si="192"/>
        <v/>
      </c>
      <c r="N37" s="239" t="str">
        <f t="shared" si="193"/>
        <v/>
      </c>
      <c r="O37" s="53" t="str">
        <f t="shared" si="194"/>
        <v/>
      </c>
      <c r="P37" s="240" t="str">
        <f t="shared" si="195"/>
        <v/>
      </c>
      <c r="Q37" s="117" t="str">
        <f t="shared" si="196"/>
        <v/>
      </c>
      <c r="R37" s="101" t="str">
        <f t="shared" si="197"/>
        <v/>
      </c>
      <c r="T37" s="53" t="s">
        <v>94</v>
      </c>
      <c r="U37" s="53">
        <v>3</v>
      </c>
      <c r="V37" s="240">
        <v>9</v>
      </c>
      <c r="W37" s="239" t="str">
        <f t="shared" ref="W37:W43" si="198">VLOOKUP($T37,$D$35:$R$44,14,FALSE)</f>
        <v/>
      </c>
      <c r="X37" s="240" t="str">
        <f t="shared" ref="X37:X43" si="199">VLOOKUP($T37,$D$35:$R$44,15,FALSE)</f>
        <v/>
      </c>
      <c r="AG37" s="77">
        <v>2</v>
      </c>
      <c r="AH37" s="331" t="s">
        <v>344</v>
      </c>
      <c r="AI37" s="331"/>
      <c r="AJ37" s="331"/>
      <c r="AK37" s="331"/>
      <c r="AL37" s="331"/>
      <c r="AM37" s="331"/>
      <c r="AN37" s="331"/>
      <c r="AO37" s="331"/>
      <c r="AP37" s="331"/>
      <c r="AQ37" s="331"/>
      <c r="AR37" s="331"/>
      <c r="AS37" s="331"/>
      <c r="AT37" s="332"/>
    </row>
    <row r="38" spans="1:52">
      <c r="B38" s="36">
        <v>3</v>
      </c>
      <c r="C38" s="58"/>
      <c r="D38" s="37" t="s">
        <v>97</v>
      </c>
      <c r="E38" s="38" t="str">
        <f t="shared" si="185"/>
        <v/>
      </c>
      <c r="F38" s="239" t="str">
        <f t="shared" si="186"/>
        <v/>
      </c>
      <c r="G38" s="239" t="str">
        <f t="shared" si="187"/>
        <v/>
      </c>
      <c r="H38" s="8" t="str">
        <f t="shared" si="188"/>
        <v/>
      </c>
      <c r="I38" s="89">
        <v>1</v>
      </c>
      <c r="J38" s="53" t="str">
        <f t="shared" si="189"/>
        <v/>
      </c>
      <c r="K38" s="239" t="str">
        <f t="shared" si="190"/>
        <v/>
      </c>
      <c r="L38" s="239" t="str">
        <f t="shared" si="191"/>
        <v/>
      </c>
      <c r="M38" s="239" t="str">
        <f t="shared" si="192"/>
        <v/>
      </c>
      <c r="N38" s="239" t="str">
        <f t="shared" si="193"/>
        <v/>
      </c>
      <c r="O38" s="53" t="str">
        <f t="shared" si="194"/>
        <v/>
      </c>
      <c r="P38" s="240" t="str">
        <f t="shared" si="195"/>
        <v/>
      </c>
      <c r="Q38" s="117" t="str">
        <f t="shared" si="196"/>
        <v/>
      </c>
      <c r="R38" s="101" t="str">
        <f t="shared" si="197"/>
        <v/>
      </c>
      <c r="T38" s="53" t="s">
        <v>95</v>
      </c>
      <c r="U38" s="53">
        <v>4</v>
      </c>
      <c r="V38" s="240">
        <v>9</v>
      </c>
      <c r="W38" s="239" t="str">
        <f t="shared" si="198"/>
        <v/>
      </c>
      <c r="X38" s="240" t="str">
        <f t="shared" si="199"/>
        <v/>
      </c>
      <c r="AG38" s="77">
        <v>3</v>
      </c>
      <c r="AH38" s="331" t="s">
        <v>346</v>
      </c>
      <c r="AI38" s="331"/>
      <c r="AJ38" s="331"/>
      <c r="AK38" s="331"/>
      <c r="AL38" s="331"/>
      <c r="AM38" s="331"/>
      <c r="AN38" s="331"/>
      <c r="AO38" s="331"/>
      <c r="AP38" s="331"/>
      <c r="AQ38" s="331"/>
      <c r="AR38" s="331"/>
      <c r="AS38" s="331"/>
      <c r="AT38" s="332"/>
    </row>
    <row r="39" spans="1:52">
      <c r="B39" s="36">
        <v>4</v>
      </c>
      <c r="C39" s="58"/>
      <c r="D39" s="65" t="s">
        <v>94</v>
      </c>
      <c r="E39" s="38" t="str">
        <f t="shared" si="185"/>
        <v/>
      </c>
      <c r="F39" s="239" t="str">
        <f t="shared" si="186"/>
        <v/>
      </c>
      <c r="G39" s="239" t="str">
        <f t="shared" si="187"/>
        <v/>
      </c>
      <c r="H39" s="8" t="str">
        <f t="shared" si="188"/>
        <v/>
      </c>
      <c r="I39" s="89">
        <v>2</v>
      </c>
      <c r="J39" s="53" t="str">
        <f t="shared" si="189"/>
        <v/>
      </c>
      <c r="K39" s="239" t="str">
        <f t="shared" si="190"/>
        <v/>
      </c>
      <c r="L39" s="239" t="str">
        <f t="shared" si="191"/>
        <v/>
      </c>
      <c r="M39" s="239" t="str">
        <f t="shared" si="192"/>
        <v/>
      </c>
      <c r="N39" s="239" t="str">
        <f t="shared" si="193"/>
        <v/>
      </c>
      <c r="O39" s="53" t="str">
        <f t="shared" si="194"/>
        <v/>
      </c>
      <c r="P39" s="240" t="str">
        <f t="shared" si="195"/>
        <v/>
      </c>
      <c r="Q39" s="117" t="str">
        <f t="shared" si="196"/>
        <v/>
      </c>
      <c r="R39" s="101" t="str">
        <f t="shared" si="197"/>
        <v/>
      </c>
      <c r="T39" s="53" t="s">
        <v>96</v>
      </c>
      <c r="U39" s="53">
        <v>5</v>
      </c>
      <c r="V39" s="240">
        <v>9</v>
      </c>
      <c r="W39" s="239" t="str">
        <f t="shared" si="198"/>
        <v/>
      </c>
      <c r="X39" s="240" t="str">
        <f t="shared" si="199"/>
        <v/>
      </c>
      <c r="AG39" s="77">
        <v>4</v>
      </c>
      <c r="AH39" s="341" t="s">
        <v>345</v>
      </c>
      <c r="AI39" s="341"/>
      <c r="AJ39" s="341"/>
      <c r="AK39" s="341"/>
      <c r="AL39" s="341"/>
      <c r="AM39" s="341"/>
      <c r="AN39" s="341"/>
      <c r="AO39" s="341"/>
      <c r="AP39" s="341"/>
      <c r="AQ39" s="341"/>
      <c r="AR39" s="341"/>
      <c r="AS39" s="341"/>
      <c r="AT39" s="341"/>
    </row>
    <row r="40" spans="1:52">
      <c r="B40" s="36">
        <v>5</v>
      </c>
      <c r="C40" s="58"/>
      <c r="D40" s="65" t="s">
        <v>92</v>
      </c>
      <c r="E40" s="38" t="str">
        <f t="shared" si="185"/>
        <v/>
      </c>
      <c r="F40" s="239" t="str">
        <f t="shared" si="186"/>
        <v/>
      </c>
      <c r="G40" s="239" t="str">
        <f t="shared" si="187"/>
        <v/>
      </c>
      <c r="H40" s="8" t="str">
        <f t="shared" si="188"/>
        <v/>
      </c>
      <c r="I40" s="89">
        <v>4</v>
      </c>
      <c r="J40" s="53" t="str">
        <f t="shared" si="189"/>
        <v/>
      </c>
      <c r="K40" s="239" t="str">
        <f t="shared" si="190"/>
        <v/>
      </c>
      <c r="L40" s="239" t="str">
        <f t="shared" si="191"/>
        <v/>
      </c>
      <c r="M40" s="239" t="str">
        <f t="shared" si="192"/>
        <v/>
      </c>
      <c r="N40" s="239" t="str">
        <f t="shared" si="193"/>
        <v/>
      </c>
      <c r="O40" s="53" t="str">
        <f t="shared" si="194"/>
        <v/>
      </c>
      <c r="P40" s="240" t="str">
        <f t="shared" si="195"/>
        <v/>
      </c>
      <c r="Q40" s="117" t="str">
        <f t="shared" si="196"/>
        <v/>
      </c>
      <c r="R40" s="101" t="str">
        <f t="shared" si="197"/>
        <v/>
      </c>
      <c r="T40" s="53" t="s">
        <v>97</v>
      </c>
      <c r="U40" s="53">
        <v>6</v>
      </c>
      <c r="V40" s="240">
        <v>9</v>
      </c>
      <c r="W40" s="239" t="str">
        <f t="shared" si="198"/>
        <v/>
      </c>
      <c r="X40" s="240" t="str">
        <f t="shared" si="199"/>
        <v/>
      </c>
      <c r="AG40" s="78">
        <v>5</v>
      </c>
      <c r="AH40" s="334" t="s">
        <v>347</v>
      </c>
      <c r="AI40" s="334"/>
      <c r="AJ40" s="334"/>
      <c r="AK40" s="334"/>
      <c r="AL40" s="334"/>
      <c r="AM40" s="334"/>
      <c r="AN40" s="334"/>
      <c r="AO40" s="334"/>
      <c r="AP40" s="334"/>
      <c r="AQ40" s="334"/>
      <c r="AR40" s="334"/>
      <c r="AS40" s="334"/>
      <c r="AT40" s="335"/>
    </row>
    <row r="41" spans="1:52">
      <c r="B41" s="36">
        <v>6</v>
      </c>
      <c r="C41" s="58"/>
      <c r="D41" s="65" t="s">
        <v>100</v>
      </c>
      <c r="E41" s="38" t="str">
        <f t="shared" si="185"/>
        <v/>
      </c>
      <c r="F41" s="239" t="str">
        <f t="shared" si="186"/>
        <v/>
      </c>
      <c r="G41" s="239" t="str">
        <f t="shared" si="187"/>
        <v/>
      </c>
      <c r="H41" s="8" t="str">
        <f t="shared" si="188"/>
        <v/>
      </c>
      <c r="I41" s="89">
        <v>6</v>
      </c>
      <c r="J41" s="53" t="str">
        <f t="shared" si="189"/>
        <v/>
      </c>
      <c r="K41" s="239" t="str">
        <f t="shared" si="190"/>
        <v/>
      </c>
      <c r="L41" s="239" t="str">
        <f t="shared" si="191"/>
        <v/>
      </c>
      <c r="M41" s="239" t="str">
        <f t="shared" si="192"/>
        <v/>
      </c>
      <c r="N41" s="239" t="str">
        <f t="shared" si="193"/>
        <v/>
      </c>
      <c r="O41" s="53" t="str">
        <f t="shared" si="194"/>
        <v/>
      </c>
      <c r="P41" s="240" t="str">
        <f t="shared" si="195"/>
        <v/>
      </c>
      <c r="Q41" s="117" t="str">
        <f t="shared" si="196"/>
        <v/>
      </c>
      <c r="R41" s="101" t="str">
        <f t="shared" si="197"/>
        <v/>
      </c>
      <c r="T41" s="53" t="s">
        <v>98</v>
      </c>
      <c r="U41" s="53">
        <v>7</v>
      </c>
      <c r="V41" s="240">
        <v>10</v>
      </c>
      <c r="W41" s="239" t="str">
        <f t="shared" si="198"/>
        <v/>
      </c>
      <c r="X41" s="240" t="str">
        <f t="shared" si="199"/>
        <v/>
      </c>
    </row>
    <row r="42" spans="1:52">
      <c r="B42" s="36">
        <v>7</v>
      </c>
      <c r="C42" s="58"/>
      <c r="D42" s="65" t="s">
        <v>98</v>
      </c>
      <c r="E42" s="38" t="str">
        <f t="shared" si="185"/>
        <v/>
      </c>
      <c r="F42" s="239" t="str">
        <f t="shared" si="186"/>
        <v/>
      </c>
      <c r="G42" s="239" t="str">
        <f t="shared" si="187"/>
        <v/>
      </c>
      <c r="H42" s="8" t="str">
        <f t="shared" si="188"/>
        <v/>
      </c>
      <c r="I42" s="89">
        <v>7</v>
      </c>
      <c r="J42" s="53" t="str">
        <f t="shared" si="189"/>
        <v/>
      </c>
      <c r="K42" s="239" t="str">
        <f t="shared" si="190"/>
        <v/>
      </c>
      <c r="L42" s="239" t="str">
        <f t="shared" si="191"/>
        <v/>
      </c>
      <c r="M42" s="239" t="str">
        <f t="shared" si="192"/>
        <v/>
      </c>
      <c r="N42" s="239" t="str">
        <f t="shared" si="193"/>
        <v/>
      </c>
      <c r="O42" s="53" t="str">
        <f t="shared" si="194"/>
        <v/>
      </c>
      <c r="P42" s="240" t="str">
        <f t="shared" si="195"/>
        <v/>
      </c>
      <c r="Q42" s="117" t="str">
        <f t="shared" si="196"/>
        <v/>
      </c>
      <c r="R42" s="101" t="str">
        <f t="shared" si="197"/>
        <v/>
      </c>
      <c r="T42" s="53" t="s">
        <v>99</v>
      </c>
      <c r="U42" s="53">
        <v>8</v>
      </c>
      <c r="V42" s="240">
        <v>10</v>
      </c>
      <c r="W42" s="239" t="str">
        <f t="shared" si="198"/>
        <v/>
      </c>
      <c r="X42" s="240" t="str">
        <f t="shared" si="199"/>
        <v/>
      </c>
    </row>
    <row r="43" spans="1:52">
      <c r="B43" s="36">
        <v>8</v>
      </c>
      <c r="C43" s="58"/>
      <c r="D43" s="65" t="s">
        <v>96</v>
      </c>
      <c r="E43" s="38" t="str">
        <f t="shared" si="185"/>
        <v/>
      </c>
      <c r="F43" s="239" t="str">
        <f t="shared" si="186"/>
        <v/>
      </c>
      <c r="G43" s="239" t="str">
        <f t="shared" si="187"/>
        <v/>
      </c>
      <c r="H43" s="8" t="str">
        <f t="shared" si="188"/>
        <v/>
      </c>
      <c r="I43" s="89">
        <v>8</v>
      </c>
      <c r="J43" s="53" t="str">
        <f t="shared" si="189"/>
        <v/>
      </c>
      <c r="K43" s="239" t="str">
        <f t="shared" si="190"/>
        <v/>
      </c>
      <c r="L43" s="239" t="str">
        <f t="shared" si="191"/>
        <v/>
      </c>
      <c r="M43" s="239" t="str">
        <f t="shared" si="192"/>
        <v/>
      </c>
      <c r="N43" s="239" t="str">
        <f t="shared" si="193"/>
        <v/>
      </c>
      <c r="O43" s="53" t="str">
        <f t="shared" si="194"/>
        <v/>
      </c>
      <c r="P43" s="240" t="str">
        <f t="shared" si="195"/>
        <v/>
      </c>
      <c r="Q43" s="117" t="str">
        <f t="shared" si="196"/>
        <v/>
      </c>
      <c r="R43" s="101" t="str">
        <f t="shared" si="197"/>
        <v/>
      </c>
      <c r="T43" s="54" t="s">
        <v>100</v>
      </c>
      <c r="U43" s="54">
        <v>9</v>
      </c>
      <c r="V43" s="238">
        <v>10</v>
      </c>
      <c r="W43" s="237" t="str">
        <f t="shared" si="198"/>
        <v/>
      </c>
      <c r="X43" s="238" t="str">
        <f t="shared" si="199"/>
        <v/>
      </c>
    </row>
    <row r="44" spans="1:52">
      <c r="B44" s="39">
        <v>9</v>
      </c>
      <c r="C44" s="59"/>
      <c r="D44" s="40" t="s">
        <v>95</v>
      </c>
      <c r="E44" s="42" t="str">
        <f t="shared" si="185"/>
        <v/>
      </c>
      <c r="F44" s="237" t="str">
        <f t="shared" si="186"/>
        <v/>
      </c>
      <c r="G44" s="237" t="str">
        <f t="shared" si="187"/>
        <v/>
      </c>
      <c r="H44" s="69" t="str">
        <f t="shared" si="188"/>
        <v/>
      </c>
      <c r="I44" s="90">
        <v>9</v>
      </c>
      <c r="J44" s="54" t="str">
        <f t="shared" si="189"/>
        <v/>
      </c>
      <c r="K44" s="237" t="str">
        <f t="shared" si="190"/>
        <v/>
      </c>
      <c r="L44" s="237" t="str">
        <f t="shared" si="191"/>
        <v/>
      </c>
      <c r="M44" s="237" t="str">
        <f t="shared" si="192"/>
        <v/>
      </c>
      <c r="N44" s="237" t="str">
        <f t="shared" si="193"/>
        <v/>
      </c>
      <c r="O44" s="54" t="str">
        <f t="shared" si="194"/>
        <v/>
      </c>
      <c r="P44" s="238" t="str">
        <f t="shared" si="195"/>
        <v/>
      </c>
      <c r="Q44" s="118" t="str">
        <f t="shared" si="196"/>
        <v/>
      </c>
      <c r="R44" s="102" t="str">
        <f t="shared" si="197"/>
        <v/>
      </c>
    </row>
    <row r="45" spans="1:52">
      <c r="B45" s="4"/>
      <c r="C45" s="37"/>
      <c r="D45" s="37"/>
      <c r="E45" s="37"/>
      <c r="F45" s="239"/>
      <c r="G45" s="239"/>
      <c r="H45" s="9"/>
    </row>
    <row r="46" spans="1:52">
      <c r="B46" s="32" t="s">
        <v>194</v>
      </c>
      <c r="C46" s="35">
        <f>COUNTA(C6:C17,C20:C27,C30:C33)</f>
        <v>1</v>
      </c>
      <c r="D46" s="287">
        <f>C46/$C$48</f>
        <v>0.5</v>
      </c>
      <c r="E46" s="37"/>
      <c r="F46" s="239"/>
      <c r="G46" s="239"/>
      <c r="H46" s="9"/>
    </row>
    <row r="47" spans="1:52">
      <c r="B47" s="36" t="s">
        <v>195</v>
      </c>
      <c r="C47" s="38">
        <f>COUNTA(C51:C56,C59:C60,C63:C72)</f>
        <v>1</v>
      </c>
      <c r="D47" s="287">
        <f>C47/$C$48</f>
        <v>0.5</v>
      </c>
      <c r="E47" s="37"/>
      <c r="F47" s="239"/>
      <c r="G47" s="239"/>
      <c r="H47" s="9"/>
    </row>
    <row r="48" spans="1:52">
      <c r="B48" s="39" t="s">
        <v>196</v>
      </c>
      <c r="C48" s="42">
        <f>C46+C47</f>
        <v>2</v>
      </c>
      <c r="D48" s="37"/>
      <c r="E48" s="37"/>
      <c r="F48" s="239"/>
      <c r="G48" s="239"/>
      <c r="H48" s="9"/>
    </row>
    <row r="49" spans="1:33">
      <c r="I49">
        <v>6</v>
      </c>
      <c r="K49">
        <v>11</v>
      </c>
      <c r="L49">
        <v>12</v>
      </c>
      <c r="M49">
        <v>13</v>
      </c>
      <c r="N49">
        <v>17</v>
      </c>
      <c r="O49">
        <f>N49+2</f>
        <v>19</v>
      </c>
      <c r="P49">
        <f t="shared" ref="P49:Y49" si="200">O49+2</f>
        <v>21</v>
      </c>
      <c r="Q49">
        <f t="shared" si="200"/>
        <v>23</v>
      </c>
      <c r="R49">
        <f t="shared" si="200"/>
        <v>25</v>
      </c>
      <c r="S49">
        <f t="shared" si="200"/>
        <v>27</v>
      </c>
      <c r="T49">
        <f t="shared" si="200"/>
        <v>29</v>
      </c>
      <c r="U49">
        <f t="shared" si="200"/>
        <v>31</v>
      </c>
      <c r="V49">
        <f t="shared" si="200"/>
        <v>33</v>
      </c>
      <c r="W49">
        <f t="shared" si="200"/>
        <v>35</v>
      </c>
      <c r="X49">
        <f t="shared" si="200"/>
        <v>37</v>
      </c>
      <c r="Y49">
        <f t="shared" si="200"/>
        <v>39</v>
      </c>
      <c r="Z49">
        <v>41</v>
      </c>
      <c r="AA49">
        <v>42</v>
      </c>
      <c r="AB49">
        <v>43</v>
      </c>
      <c r="AC49">
        <v>46</v>
      </c>
      <c r="AD49">
        <v>14</v>
      </c>
      <c r="AE49">
        <v>15</v>
      </c>
      <c r="AF49">
        <v>16</v>
      </c>
      <c r="AG49">
        <v>48</v>
      </c>
    </row>
    <row r="50" spans="1:33" s="239" customFormat="1" ht="74.25">
      <c r="A50" s="73" t="s">
        <v>193</v>
      </c>
      <c r="B50" s="234" t="s">
        <v>126</v>
      </c>
      <c r="C50" s="44" t="s">
        <v>118</v>
      </c>
      <c r="D50" s="44" t="s">
        <v>91</v>
      </c>
      <c r="E50" s="50" t="s">
        <v>102</v>
      </c>
      <c r="F50" s="46" t="s">
        <v>183</v>
      </c>
      <c r="G50" s="46" t="s">
        <v>184</v>
      </c>
      <c r="H50" s="46" t="s">
        <v>185</v>
      </c>
      <c r="I50" s="76" t="s">
        <v>212</v>
      </c>
      <c r="J50" s="76" t="s">
        <v>189</v>
      </c>
      <c r="K50" s="74" t="s">
        <v>186</v>
      </c>
      <c r="L50" s="74" t="s">
        <v>187</v>
      </c>
      <c r="M50" s="75" t="s">
        <v>188</v>
      </c>
      <c r="N50" s="74" t="s">
        <v>60</v>
      </c>
      <c r="O50" s="74" t="s">
        <v>62</v>
      </c>
      <c r="P50" s="74" t="s">
        <v>64</v>
      </c>
      <c r="Q50" s="74" t="s">
        <v>66</v>
      </c>
      <c r="R50" s="74" t="s">
        <v>68</v>
      </c>
      <c r="S50" s="74" t="s">
        <v>108</v>
      </c>
      <c r="T50" s="74" t="s">
        <v>71</v>
      </c>
      <c r="U50" s="74" t="s">
        <v>73</v>
      </c>
      <c r="V50" s="74" t="s">
        <v>75</v>
      </c>
      <c r="W50" s="74" t="s">
        <v>77</v>
      </c>
      <c r="X50" s="74" t="s">
        <v>79</v>
      </c>
      <c r="Y50" s="75" t="s">
        <v>81</v>
      </c>
      <c r="Z50" s="79" t="s">
        <v>199</v>
      </c>
      <c r="AA50" s="74" t="s">
        <v>198</v>
      </c>
      <c r="AB50" s="75" t="s">
        <v>200</v>
      </c>
      <c r="AC50" s="288" t="s">
        <v>537</v>
      </c>
      <c r="AD50" s="74" t="s">
        <v>186</v>
      </c>
      <c r="AE50" s="74" t="s">
        <v>187</v>
      </c>
      <c r="AF50" s="75" t="s">
        <v>188</v>
      </c>
      <c r="AG50" s="288" t="s">
        <v>197</v>
      </c>
    </row>
    <row r="51" spans="1:33">
      <c r="A51" s="239">
        <v>1</v>
      </c>
      <c r="B51" s="36" t="s">
        <v>108</v>
      </c>
      <c r="C51" s="309" t="s">
        <v>529</v>
      </c>
      <c r="D51" s="37">
        <f>IF($C51="","",VLOOKUP($C51,CTPit!$E$10:$BG$214,D$4,FALSE))</f>
        <v>19</v>
      </c>
      <c r="E51" s="38" t="str">
        <f>IF($C51="","",VLOOKUP($C51,CTPit!$E$10:$BG$214,E$4+1,FALSE))</f>
        <v>R</v>
      </c>
      <c r="F51" s="239">
        <f>IF($C51="","",IF(AG51&gt;7,1,0))</f>
        <v>0</v>
      </c>
      <c r="G51" s="239">
        <f>IF($C51="","",IF(AG51&gt;6.5,1,0))</f>
        <v>0</v>
      </c>
      <c r="H51" s="239">
        <f>IF($C51="","",IF(AG51&gt;6,1,0))</f>
        <v>0</v>
      </c>
      <c r="I51" s="98" t="str">
        <f>IF($C51="","",VLOOKUP($C51,CTPit!$E$10:$BG$172,I$49,FALSE))</f>
        <v>R</v>
      </c>
      <c r="J51" s="77">
        <f t="shared" ref="J51:J56" si="201">IF($C51="","",COUNT(N51:Y51))</f>
        <v>4</v>
      </c>
      <c r="K51" s="239">
        <f>IF($C51="","",VLOOKUP($C51,CTPit!$E$10:$BG$172,K$49,FALSE))</f>
        <v>3</v>
      </c>
      <c r="L51" s="239">
        <f>IF($C51="","",VLOOKUP($C51,CTPit!$E$10:$BG$172,L$49,FALSE))</f>
        <v>5</v>
      </c>
      <c r="M51" s="240">
        <f>IF($C51="","",VLOOKUP($C51,CTPit!$E$10:$BG$172,M$49,FALSE))</f>
        <v>1</v>
      </c>
      <c r="N51" s="239" t="str">
        <f>IF($C51="","",VLOOKUP($C51,CTPit!$E$10:$BG$172,N$49,FALSE))</f>
        <v>-</v>
      </c>
      <c r="O51" s="239">
        <f>IF($C51="","",VLOOKUP($C51,CTPit!$E$10:$BG$172,O$49,FALSE))</f>
        <v>1</v>
      </c>
      <c r="P51" s="239">
        <f>IF($C51="","",VLOOKUP($C51,CTPit!$E$10:$BG$172,P$49,FALSE))</f>
        <v>3</v>
      </c>
      <c r="Q51" s="239">
        <f>IF($C51="","",VLOOKUP($C51,CTPit!$E$10:$BG$172,Q$49,FALSE))</f>
        <v>3</v>
      </c>
      <c r="R51" s="239" t="str">
        <f>IF($C51="","",VLOOKUP($C51,CTPit!$E$10:$BG$172,R$49,FALSE))</f>
        <v>-</v>
      </c>
      <c r="S51" s="239" t="str">
        <f>IF($C51="","",VLOOKUP($C51,CTPit!$E$10:$BG$172,S$49,FALSE))</f>
        <v>-</v>
      </c>
      <c r="T51" s="239">
        <f>IF($C51="","",VLOOKUP($C51,CTPit!$E$10:$BG$172,T$49,FALSE))</f>
        <v>4</v>
      </c>
      <c r="U51" s="239" t="str">
        <f>IF($C51="","",VLOOKUP($C51,CTPit!$E$10:$BG$172,U$49,FALSE))</f>
        <v>-</v>
      </c>
      <c r="V51" s="239" t="str">
        <f>IF($C51="","",VLOOKUP($C51,CTPit!$E$10:$BG$172,V$49,FALSE))</f>
        <v>-</v>
      </c>
      <c r="W51" s="239" t="str">
        <f>IF($C51="","",VLOOKUP($C51,CTPit!$E$10:$BG$172,W$49,FALSE))</f>
        <v>-</v>
      </c>
      <c r="X51" s="239" t="str">
        <f>IF($C51="","",VLOOKUP($C51,CTPit!$E$10:$BG$172,X$49,FALSE))</f>
        <v>-</v>
      </c>
      <c r="Y51" s="240" t="str">
        <f>IF($C51="","",VLOOKUP($C51,CTPit!$E$10:$BG$172,Y$49,FALSE))</f>
        <v>-</v>
      </c>
      <c r="Z51" s="53" t="str">
        <f>IF($C51="","",VLOOKUP($C51,CTPit!$E$10:$BG$172,Z$49,FALSE))</f>
        <v>94-96 Mph</v>
      </c>
      <c r="AA51" s="239">
        <f>IF($C51="","",VLOOKUP($C51,CTPit!$E$10:$BG$172,AA$49,FALSE))</f>
        <v>5</v>
      </c>
      <c r="AB51" s="80">
        <f>IF($C51="","",VLOOKUP($C51,CTPit!$E$10:$BG$172,AB$49,FALSE))</f>
        <v>0.57999999999999996</v>
      </c>
      <c r="AC51" s="289">
        <f>IF($C51="","",VLOOKUP($C51,CTPit!$E$10:$BG$172,AC$49,FALSE))</f>
        <v>3.5</v>
      </c>
      <c r="AD51" s="275">
        <f>IF($C51="","",VLOOKUP($C51,CTPit!$E$10:$BG$172,AD$49,FALSE))</f>
        <v>5</v>
      </c>
      <c r="AE51" s="275">
        <f>IF($C51="","",VLOOKUP($C51,CTPit!$E$10:$BG$172,AE$49,FALSE))</f>
        <v>6</v>
      </c>
      <c r="AF51" s="276">
        <f>IF($C51="","",VLOOKUP($C51,CTPit!$E$10:$BG$172,AF$49,FALSE))</f>
        <v>3</v>
      </c>
      <c r="AG51" s="289">
        <f>IF($C51="","",VLOOKUP($C51,CTPit!$E$10:$BG$172,AG$49,FALSE))</f>
        <v>5.416666666666667</v>
      </c>
    </row>
    <row r="52" spans="1:33">
      <c r="A52" s="239">
        <v>2</v>
      </c>
      <c r="B52" s="36" t="s">
        <v>108</v>
      </c>
      <c r="C52" s="37"/>
      <c r="D52" s="37" t="str">
        <f>IF($C52="","",VLOOKUP($C52,CTPit!$E$10:$BG$214,D$4,FALSE))</f>
        <v/>
      </c>
      <c r="E52" s="38" t="str">
        <f>IF($C52="","",VLOOKUP($C52,CTPit!$E$10:$BG$214,E$4+1,FALSE))</f>
        <v/>
      </c>
      <c r="F52" s="239" t="str">
        <f t="shared" ref="F52:F56" si="202">IF($C52="","",IF(AG52&gt;7,1,0))</f>
        <v/>
      </c>
      <c r="G52" s="239" t="str">
        <f t="shared" ref="G52:G56" si="203">IF($C52="","",IF(AG52&gt;6.5,1,0))</f>
        <v/>
      </c>
      <c r="H52" s="239" t="str">
        <f t="shared" ref="H52:H56" si="204">IF($C52="","",IF(AG52&gt;6,1,0))</f>
        <v/>
      </c>
      <c r="I52" s="99" t="str">
        <f>IF($C52="","",VLOOKUP($C52,CTPit!$E$10:$BG$172,I$49,FALSE))</f>
        <v/>
      </c>
      <c r="J52" s="77" t="str">
        <f t="shared" si="201"/>
        <v/>
      </c>
      <c r="K52" s="239" t="str">
        <f>IF($C52="","",VLOOKUP($C52,CTPit!$E$10:$BG$172,K$49,FALSE))</f>
        <v/>
      </c>
      <c r="L52" s="239" t="str">
        <f>IF($C52="","",VLOOKUP($C52,CTPit!$E$10:$BG$172,L$49,FALSE))</f>
        <v/>
      </c>
      <c r="M52" s="240" t="str">
        <f>IF($C52="","",VLOOKUP($C52,CTPit!$E$10:$BG$172,M$49,FALSE))</f>
        <v/>
      </c>
      <c r="N52" s="239" t="str">
        <f>IF($C52="","",VLOOKUP($C52,CTPit!$E$10:$BG$172,N$49,FALSE))</f>
        <v/>
      </c>
      <c r="O52" s="239" t="str">
        <f>IF($C52="","",VLOOKUP($C52,CTPit!$E$10:$BG$172,O$49,FALSE))</f>
        <v/>
      </c>
      <c r="P52" s="239" t="str">
        <f>IF($C52="","",VLOOKUP($C52,CTPit!$E$10:$BG$172,P$49,FALSE))</f>
        <v/>
      </c>
      <c r="Q52" s="239" t="str">
        <f>IF($C52="","",VLOOKUP($C52,CTPit!$E$10:$BG$172,Q$49,FALSE))</f>
        <v/>
      </c>
      <c r="R52" s="239" t="str">
        <f>IF($C52="","",VLOOKUP($C52,CTPit!$E$10:$BG$172,R$49,FALSE))</f>
        <v/>
      </c>
      <c r="S52" s="239" t="str">
        <f>IF($C52="","",VLOOKUP($C52,CTPit!$E$10:$BG$172,S$49,FALSE))</f>
        <v/>
      </c>
      <c r="T52" s="239" t="str">
        <f>IF($C52="","",VLOOKUP($C52,CTPit!$E$10:$BG$172,T$49,FALSE))</f>
        <v/>
      </c>
      <c r="U52" s="239" t="str">
        <f>IF($C52="","",VLOOKUP($C52,CTPit!$E$10:$BG$172,U$49,FALSE))</f>
        <v/>
      </c>
      <c r="V52" s="239" t="str">
        <f>IF($C52="","",VLOOKUP($C52,CTPit!$E$10:$BG$172,V$49,FALSE))</f>
        <v/>
      </c>
      <c r="W52" s="239" t="str">
        <f>IF($C52="","",VLOOKUP($C52,CTPit!$E$10:$BG$172,W$49,FALSE))</f>
        <v/>
      </c>
      <c r="X52" s="239" t="str">
        <f>IF($C52="","",VLOOKUP($C52,CTPit!$E$10:$BG$172,X$49,FALSE))</f>
        <v/>
      </c>
      <c r="Y52" s="240" t="str">
        <f>IF($C52="","",VLOOKUP($C52,CTPit!$E$10:$BG$172,Y$49,FALSE))</f>
        <v/>
      </c>
      <c r="Z52" s="53" t="str">
        <f>IF($C52="","",VLOOKUP($C52,CTPit!$E$10:$BG$172,Z$49,FALSE))</f>
        <v/>
      </c>
      <c r="AA52" s="239" t="str">
        <f>IF($C52="","",VLOOKUP($C52,CTPit!$E$10:$BG$172,AA$49,FALSE))</f>
        <v/>
      </c>
      <c r="AB52" s="80" t="str">
        <f>IF($C52="","",VLOOKUP($C52,CTPit!$E$10:$BG$172,AB$49,FALSE))</f>
        <v/>
      </c>
      <c r="AC52" s="67" t="str">
        <f>IF($C52="","",VLOOKUP($C52,CTPit!$E$10:$BG$172,AC$49,FALSE))</f>
        <v/>
      </c>
      <c r="AD52" s="275" t="str">
        <f>IF($C52="","",VLOOKUP($C52,CTPit!$E$10:$BG$172,AD$49,FALSE))</f>
        <v/>
      </c>
      <c r="AE52" s="275" t="str">
        <f>IF($C52="","",VLOOKUP($C52,CTPit!$E$10:$BG$172,AE$49,FALSE))</f>
        <v/>
      </c>
      <c r="AF52" s="276" t="str">
        <f>IF($C52="","",VLOOKUP($C52,CTPit!$E$10:$BG$172,AF$49,FALSE))</f>
        <v/>
      </c>
      <c r="AG52" s="67" t="str">
        <f>IF($C52="","",VLOOKUP($C52,CTPit!$E$10:$BG$172,AG$49,FALSE))</f>
        <v/>
      </c>
    </row>
    <row r="53" spans="1:33">
      <c r="A53" s="239">
        <v>3</v>
      </c>
      <c r="B53" s="36" t="s">
        <v>108</v>
      </c>
      <c r="C53" s="275"/>
      <c r="D53" s="37" t="str">
        <f>IF($C53="","",VLOOKUP($C53,CTPit!$E$10:$BG$214,D$4,FALSE))</f>
        <v/>
      </c>
      <c r="E53" s="38" t="str">
        <f>IF($C53="","",VLOOKUP($C53,CTPit!$E$10:$BG$214,E$4+1,FALSE))</f>
        <v/>
      </c>
      <c r="F53" s="239" t="str">
        <f t="shared" si="202"/>
        <v/>
      </c>
      <c r="G53" s="239" t="str">
        <f t="shared" si="203"/>
        <v/>
      </c>
      <c r="H53" s="239" t="str">
        <f t="shared" si="204"/>
        <v/>
      </c>
      <c r="I53" s="99" t="str">
        <f>IF($C53="","",VLOOKUP($C53,CTPit!$E$10:$BG$172,I$49,FALSE))</f>
        <v/>
      </c>
      <c r="J53" s="77" t="str">
        <f t="shared" si="201"/>
        <v/>
      </c>
      <c r="K53" s="239" t="str">
        <f>IF($C53="","",VLOOKUP($C53,CTPit!$E$10:$BG$172,K$49,FALSE))</f>
        <v/>
      </c>
      <c r="L53" s="239" t="str">
        <f>IF($C53="","",VLOOKUP($C53,CTPit!$E$10:$BG$172,L$49,FALSE))</f>
        <v/>
      </c>
      <c r="M53" s="240" t="str">
        <f>IF($C53="","",VLOOKUP($C53,CTPit!$E$10:$BG$172,M$49,FALSE))</f>
        <v/>
      </c>
      <c r="N53" s="239" t="str">
        <f>IF($C53="","",VLOOKUP($C53,CTPit!$E$10:$BG$172,N$49,FALSE))</f>
        <v/>
      </c>
      <c r="O53" s="239" t="str">
        <f>IF($C53="","",VLOOKUP($C53,CTPit!$E$10:$BG$172,O$49,FALSE))</f>
        <v/>
      </c>
      <c r="P53" s="239" t="str">
        <f>IF($C53="","",VLOOKUP($C53,CTPit!$E$10:$BG$172,P$49,FALSE))</f>
        <v/>
      </c>
      <c r="Q53" s="239" t="str">
        <f>IF($C53="","",VLOOKUP($C53,CTPit!$E$10:$BG$172,Q$49,FALSE))</f>
        <v/>
      </c>
      <c r="R53" s="239" t="str">
        <f>IF($C53="","",VLOOKUP($C53,CTPit!$E$10:$BG$172,R$49,FALSE))</f>
        <v/>
      </c>
      <c r="S53" s="239" t="str">
        <f>IF($C53="","",VLOOKUP($C53,CTPit!$E$10:$BG$172,S$49,FALSE))</f>
        <v/>
      </c>
      <c r="T53" s="239" t="str">
        <f>IF($C53="","",VLOOKUP($C53,CTPit!$E$10:$BG$172,T$49,FALSE))</f>
        <v/>
      </c>
      <c r="U53" s="239" t="str">
        <f>IF($C53="","",VLOOKUP($C53,CTPit!$E$10:$BG$172,U$49,FALSE))</f>
        <v/>
      </c>
      <c r="V53" s="239" t="str">
        <f>IF($C53="","",VLOOKUP($C53,CTPit!$E$10:$BG$172,V$49,FALSE))</f>
        <v/>
      </c>
      <c r="W53" s="239" t="str">
        <f>IF($C53="","",VLOOKUP($C53,CTPit!$E$10:$BG$172,W$49,FALSE))</f>
        <v/>
      </c>
      <c r="X53" s="239" t="str">
        <f>IF($C53="","",VLOOKUP($C53,CTPit!$E$10:$BG$172,X$49,FALSE))</f>
        <v/>
      </c>
      <c r="Y53" s="240" t="str">
        <f>IF($C53="","",VLOOKUP($C53,CTPit!$E$10:$BG$172,Y$49,FALSE))</f>
        <v/>
      </c>
      <c r="Z53" s="53" t="str">
        <f>IF($C53="","",VLOOKUP($C53,CTPit!$E$10:$BG$172,Z$49,FALSE))</f>
        <v/>
      </c>
      <c r="AA53" s="239" t="str">
        <f>IF($C53="","",VLOOKUP($C53,CTPit!$E$10:$BG$172,AA$49,FALSE))</f>
        <v/>
      </c>
      <c r="AB53" s="80" t="str">
        <f>IF($C53="","",VLOOKUP($C53,CTPit!$E$10:$BG$172,AB$49,FALSE))</f>
        <v/>
      </c>
      <c r="AC53" s="67" t="str">
        <f>IF($C53="","",VLOOKUP($C53,CTPit!$E$10:$BG$172,AC$49,FALSE))</f>
        <v/>
      </c>
      <c r="AD53" s="275" t="str">
        <f>IF($C53="","",VLOOKUP($C53,CTPit!$E$10:$BG$172,AD$49,FALSE))</f>
        <v/>
      </c>
      <c r="AE53" s="275" t="str">
        <f>IF($C53="","",VLOOKUP($C53,CTPit!$E$10:$BG$172,AE$49,FALSE))</f>
        <v/>
      </c>
      <c r="AF53" s="276" t="str">
        <f>IF($C53="","",VLOOKUP($C53,CTPit!$E$10:$BG$172,AF$49,FALSE))</f>
        <v/>
      </c>
      <c r="AG53" s="67" t="str">
        <f>IF($C53="","",VLOOKUP($C53,CTPit!$E$10:$BG$172,AG$49,FALSE))</f>
        <v/>
      </c>
    </row>
    <row r="54" spans="1:33">
      <c r="A54" s="239">
        <v>4</v>
      </c>
      <c r="B54" s="36" t="s">
        <v>108</v>
      </c>
      <c r="C54" s="95"/>
      <c r="D54" s="37" t="str">
        <f>IF($C54="","",VLOOKUP($C54,CTPit!$E$10:$BG$214,D$4,FALSE))</f>
        <v/>
      </c>
      <c r="E54" s="38" t="str">
        <f>IF($C54="","",VLOOKUP($C54,CTPit!$E$10:$BG$214,E$4+1,FALSE))</f>
        <v/>
      </c>
      <c r="F54" s="239" t="str">
        <f t="shared" si="202"/>
        <v/>
      </c>
      <c r="G54" s="239" t="str">
        <f t="shared" si="203"/>
        <v/>
      </c>
      <c r="H54" s="239" t="str">
        <f t="shared" si="204"/>
        <v/>
      </c>
      <c r="I54" s="99" t="str">
        <f>IF($C54="","",VLOOKUP($C54,CTPit!$E$10:$BG$172,I$49,FALSE))</f>
        <v/>
      </c>
      <c r="J54" s="77" t="str">
        <f t="shared" si="201"/>
        <v/>
      </c>
      <c r="K54" s="239" t="str">
        <f>IF($C54="","",VLOOKUP($C54,CTPit!$E$10:$BG$172,K$49,FALSE))</f>
        <v/>
      </c>
      <c r="L54" s="239" t="str">
        <f>IF($C54="","",VLOOKUP($C54,CTPit!$E$10:$BG$172,L$49,FALSE))</f>
        <v/>
      </c>
      <c r="M54" s="240" t="str">
        <f>IF($C54="","",VLOOKUP($C54,CTPit!$E$10:$BG$172,M$49,FALSE))</f>
        <v/>
      </c>
      <c r="N54" s="239" t="str">
        <f>IF($C54="","",VLOOKUP($C54,CTPit!$E$10:$BG$172,N$49,FALSE))</f>
        <v/>
      </c>
      <c r="O54" s="239" t="str">
        <f>IF($C54="","",VLOOKUP($C54,CTPit!$E$10:$BG$172,O$49,FALSE))</f>
        <v/>
      </c>
      <c r="P54" s="239" t="str">
        <f>IF($C54="","",VLOOKUP($C54,CTPit!$E$10:$BG$172,P$49,FALSE))</f>
        <v/>
      </c>
      <c r="Q54" s="239" t="str">
        <f>IF($C54="","",VLOOKUP($C54,CTPit!$E$10:$BG$172,Q$49,FALSE))</f>
        <v/>
      </c>
      <c r="R54" s="239" t="str">
        <f>IF($C54="","",VLOOKUP($C54,CTPit!$E$10:$BG$172,R$49,FALSE))</f>
        <v/>
      </c>
      <c r="S54" s="239" t="str">
        <f>IF($C54="","",VLOOKUP($C54,CTPit!$E$10:$BG$172,S$49,FALSE))</f>
        <v/>
      </c>
      <c r="T54" s="239" t="str">
        <f>IF($C54="","",VLOOKUP($C54,CTPit!$E$10:$BG$172,T$49,FALSE))</f>
        <v/>
      </c>
      <c r="U54" s="239" t="str">
        <f>IF($C54="","",VLOOKUP($C54,CTPit!$E$10:$BG$172,U$49,FALSE))</f>
        <v/>
      </c>
      <c r="V54" s="239" t="str">
        <f>IF($C54="","",VLOOKUP($C54,CTPit!$E$10:$BG$172,V$49,FALSE))</f>
        <v/>
      </c>
      <c r="W54" s="239" t="str">
        <f>IF($C54="","",VLOOKUP($C54,CTPit!$E$10:$BG$172,W$49,FALSE))</f>
        <v/>
      </c>
      <c r="X54" s="239" t="str">
        <f>IF($C54="","",VLOOKUP($C54,CTPit!$E$10:$BG$172,X$49,FALSE))</f>
        <v/>
      </c>
      <c r="Y54" s="240" t="str">
        <f>IF($C54="","",VLOOKUP($C54,CTPit!$E$10:$BG$172,Y$49,FALSE))</f>
        <v/>
      </c>
      <c r="Z54" s="53" t="str">
        <f>IF($C54="","",VLOOKUP($C54,CTPit!$E$10:$BG$172,Z$49,FALSE))</f>
        <v/>
      </c>
      <c r="AA54" s="239" t="str">
        <f>IF($C54="","",VLOOKUP($C54,CTPit!$E$10:$BG$172,AA$49,FALSE))</f>
        <v/>
      </c>
      <c r="AB54" s="80" t="str">
        <f>IF($C54="","",VLOOKUP($C54,CTPit!$E$10:$BG$172,AB$49,FALSE))</f>
        <v/>
      </c>
      <c r="AC54" s="67" t="str">
        <f>IF($C54="","",VLOOKUP($C54,CTPit!$E$10:$BG$172,AC$49,FALSE))</f>
        <v/>
      </c>
      <c r="AD54" s="275" t="str">
        <f>IF($C54="","",VLOOKUP($C54,CTPit!$E$10:$BG$172,AD$49,FALSE))</f>
        <v/>
      </c>
      <c r="AE54" s="275" t="str">
        <f>IF($C54="","",VLOOKUP($C54,CTPit!$E$10:$BG$172,AE$49,FALSE))</f>
        <v/>
      </c>
      <c r="AF54" s="276" t="str">
        <f>IF($C54="","",VLOOKUP($C54,CTPit!$E$10:$BG$172,AF$49,FALSE))</f>
        <v/>
      </c>
      <c r="AG54" s="67" t="str">
        <f>IF($C54="","",VLOOKUP($C54,CTPit!$E$10:$BG$172,AG$49,FALSE))</f>
        <v/>
      </c>
    </row>
    <row r="55" spans="1:33">
      <c r="A55" s="239">
        <v>5</v>
      </c>
      <c r="B55" s="36" t="s">
        <v>108</v>
      </c>
      <c r="C55" s="95"/>
      <c r="D55" s="37" t="str">
        <f>IF($C55="","",VLOOKUP($C55,CTPit!$E$10:$BG$214,D$4,FALSE))</f>
        <v/>
      </c>
      <c r="E55" s="38" t="str">
        <f>IF($C55="","",VLOOKUP($C55,CTPit!$E$10:$BG$214,E$4+1,FALSE))</f>
        <v/>
      </c>
      <c r="F55" s="239" t="str">
        <f t="shared" si="202"/>
        <v/>
      </c>
      <c r="G55" s="239" t="str">
        <f t="shared" si="203"/>
        <v/>
      </c>
      <c r="H55" s="239" t="str">
        <f t="shared" si="204"/>
        <v/>
      </c>
      <c r="I55" s="99" t="str">
        <f>IF($C55="","",VLOOKUP($C55,CTPit!$E$10:$BG$172,I$49,FALSE))</f>
        <v/>
      </c>
      <c r="J55" s="77" t="str">
        <f t="shared" si="201"/>
        <v/>
      </c>
      <c r="K55" s="239" t="str">
        <f>IF($C55="","",VLOOKUP($C55,CTPit!$E$10:$BG$172,K$49,FALSE))</f>
        <v/>
      </c>
      <c r="L55" s="239" t="str">
        <f>IF($C55="","",VLOOKUP($C55,CTPit!$E$10:$BG$172,L$49,FALSE))</f>
        <v/>
      </c>
      <c r="M55" s="240" t="str">
        <f>IF($C55="","",VLOOKUP($C55,CTPit!$E$10:$BG$172,M$49,FALSE))</f>
        <v/>
      </c>
      <c r="N55" s="239" t="str">
        <f>IF($C55="","",VLOOKUP($C55,CTPit!$E$10:$BG$172,N$49,FALSE))</f>
        <v/>
      </c>
      <c r="O55" s="239" t="str">
        <f>IF($C55="","",VLOOKUP($C55,CTPit!$E$10:$BG$172,O$49,FALSE))</f>
        <v/>
      </c>
      <c r="P55" s="239" t="str">
        <f>IF($C55="","",VLOOKUP($C55,CTPit!$E$10:$BG$172,P$49,FALSE))</f>
        <v/>
      </c>
      <c r="Q55" s="239" t="str">
        <f>IF($C55="","",VLOOKUP($C55,CTPit!$E$10:$BG$172,Q$49,FALSE))</f>
        <v/>
      </c>
      <c r="R55" s="239" t="str">
        <f>IF($C55="","",VLOOKUP($C55,CTPit!$E$10:$BG$172,R$49,FALSE))</f>
        <v/>
      </c>
      <c r="S55" s="239" t="str">
        <f>IF($C55="","",VLOOKUP($C55,CTPit!$E$10:$BG$172,S$49,FALSE))</f>
        <v/>
      </c>
      <c r="T55" s="239" t="str">
        <f>IF($C55="","",VLOOKUP($C55,CTPit!$E$10:$BG$172,T$49,FALSE))</f>
        <v/>
      </c>
      <c r="U55" s="239" t="str">
        <f>IF($C55="","",VLOOKUP($C55,CTPit!$E$10:$BG$172,U$49,FALSE))</f>
        <v/>
      </c>
      <c r="V55" s="239" t="str">
        <f>IF($C55="","",VLOOKUP($C55,CTPit!$E$10:$BG$172,V$49,FALSE))</f>
        <v/>
      </c>
      <c r="W55" s="239" t="str">
        <f>IF($C55="","",VLOOKUP($C55,CTPit!$E$10:$BG$172,W$49,FALSE))</f>
        <v/>
      </c>
      <c r="X55" s="239" t="str">
        <f>IF($C55="","",VLOOKUP($C55,CTPit!$E$10:$BG$172,X$49,FALSE))</f>
        <v/>
      </c>
      <c r="Y55" s="240" t="str">
        <f>IF($C55="","",VLOOKUP($C55,CTPit!$E$10:$BG$172,Y$49,FALSE))</f>
        <v/>
      </c>
      <c r="Z55" s="53" t="str">
        <f>IF($C55="","",VLOOKUP($C55,CTPit!$E$10:$BG$172,Z$49,FALSE))</f>
        <v/>
      </c>
      <c r="AA55" s="239" t="str">
        <f>IF($C55="","",VLOOKUP($C55,CTPit!$E$10:$BG$172,AA$49,FALSE))</f>
        <v/>
      </c>
      <c r="AB55" s="80" t="str">
        <f>IF($C55="","",VLOOKUP($C55,CTPit!$E$10:$BG$172,AB$49,FALSE))</f>
        <v/>
      </c>
      <c r="AC55" s="67" t="str">
        <f>IF($C55="","",VLOOKUP($C55,CTPit!$E$10:$BG$172,AC$49,FALSE))</f>
        <v/>
      </c>
      <c r="AD55" s="275" t="str">
        <f>IF($C55="","",VLOOKUP($C55,CTPit!$E$10:$BG$172,AD$49,FALSE))</f>
        <v/>
      </c>
      <c r="AE55" s="275" t="str">
        <f>IF($C55="","",VLOOKUP($C55,CTPit!$E$10:$BG$172,AE$49,FALSE))</f>
        <v/>
      </c>
      <c r="AF55" s="276" t="str">
        <f>IF($C55="","",VLOOKUP($C55,CTPit!$E$10:$BG$172,AF$49,FALSE))</f>
        <v/>
      </c>
      <c r="AG55" s="67" t="str">
        <f>IF($C55="","",VLOOKUP($C55,CTPit!$E$10:$BG$172,AG$49,FALSE))</f>
        <v/>
      </c>
    </row>
    <row r="56" spans="1:33">
      <c r="A56" s="239">
        <v>6</v>
      </c>
      <c r="B56" s="39" t="s">
        <v>127</v>
      </c>
      <c r="C56" s="273"/>
      <c r="D56" s="40" t="str">
        <f>IF($C56="","",VLOOKUP($C56,CTPit!$E$10:$BG$214,D$4,FALSE))</f>
        <v/>
      </c>
      <c r="E56" s="42" t="str">
        <f>IF($C56="","",VLOOKUP($C56,CTPit!$E$10:$BG$214,E$4+1,FALSE))</f>
        <v/>
      </c>
      <c r="F56" s="237" t="str">
        <f t="shared" si="202"/>
        <v/>
      </c>
      <c r="G56" s="237" t="str">
        <f t="shared" si="203"/>
        <v/>
      </c>
      <c r="H56" s="237" t="str">
        <f t="shared" si="204"/>
        <v/>
      </c>
      <c r="I56" s="100" t="str">
        <f>IF($C56="","",VLOOKUP($C56,CTPit!$E$10:$BG$172,I$49,FALSE))</f>
        <v/>
      </c>
      <c r="J56" s="78" t="str">
        <f t="shared" si="201"/>
        <v/>
      </c>
      <c r="K56" s="237" t="str">
        <f>IF($C56="","",VLOOKUP($C56,CTPit!$E$10:$BG$172,K$49,FALSE))</f>
        <v/>
      </c>
      <c r="L56" s="237" t="str">
        <f>IF($C56="","",VLOOKUP($C56,CTPit!$E$10:$BG$172,L$49,FALSE))</f>
        <v/>
      </c>
      <c r="M56" s="238" t="str">
        <f>IF($C56="","",VLOOKUP($C56,CTPit!$E$10:$BG$172,M$49,FALSE))</f>
        <v/>
      </c>
      <c r="N56" s="237" t="str">
        <f>IF($C56="","",VLOOKUP($C56,CTPit!$E$10:$BG$172,N$49,FALSE))</f>
        <v/>
      </c>
      <c r="O56" s="237" t="str">
        <f>IF($C56="","",VLOOKUP($C56,CTPit!$E$10:$BG$172,O$49,FALSE))</f>
        <v/>
      </c>
      <c r="P56" s="237" t="str">
        <f>IF($C56="","",VLOOKUP($C56,CTPit!$E$10:$BG$172,P$49,FALSE))</f>
        <v/>
      </c>
      <c r="Q56" s="237" t="str">
        <f>IF($C56="","",VLOOKUP($C56,CTPit!$E$10:$BG$172,Q$49,FALSE))</f>
        <v/>
      </c>
      <c r="R56" s="237" t="str">
        <f>IF($C56="","",VLOOKUP($C56,CTPit!$E$10:$BG$172,R$49,FALSE))</f>
        <v/>
      </c>
      <c r="S56" s="237" t="str">
        <f>IF($C56="","",VLOOKUP($C56,CTPit!$E$10:$BG$172,S$49,FALSE))</f>
        <v/>
      </c>
      <c r="T56" s="237" t="str">
        <f>IF($C56="","",VLOOKUP($C56,CTPit!$E$10:$BG$172,T$49,FALSE))</f>
        <v/>
      </c>
      <c r="U56" s="237" t="str">
        <f>IF($C56="","",VLOOKUP($C56,CTPit!$E$10:$BG$172,U$49,FALSE))</f>
        <v/>
      </c>
      <c r="V56" s="237" t="str">
        <f>IF($C56="","",VLOOKUP($C56,CTPit!$E$10:$BG$172,V$49,FALSE))</f>
        <v/>
      </c>
      <c r="W56" s="237" t="str">
        <f>IF($C56="","",VLOOKUP($C56,CTPit!$E$10:$BG$172,W$49,FALSE))</f>
        <v/>
      </c>
      <c r="X56" s="237" t="str">
        <f>IF($C56="","",VLOOKUP($C56,CTPit!$E$10:$BG$172,X$49,FALSE))</f>
        <v/>
      </c>
      <c r="Y56" s="238" t="str">
        <f>IF($C56="","",VLOOKUP($C56,CTPit!$E$10:$BG$172,Y$49,FALSE))</f>
        <v/>
      </c>
      <c r="Z56" s="54" t="str">
        <f>IF($C56="","",VLOOKUP($C56,CTPit!$E$10:$BG$172,Z$49,FALSE))</f>
        <v/>
      </c>
      <c r="AA56" s="237" t="str">
        <f>IF($C56="","",VLOOKUP($C56,CTPit!$E$10:$BG$172,AA$49,FALSE))</f>
        <v/>
      </c>
      <c r="AB56" s="81" t="str">
        <f>IF($C56="","",VLOOKUP($C56,CTPit!$E$10:$BG$172,AB$49,FALSE))</f>
        <v/>
      </c>
      <c r="AC56" s="68" t="str">
        <f>IF($C56="","",VLOOKUP($C56,CTPit!$E$10:$BG$172,AC$49,FALSE))</f>
        <v/>
      </c>
      <c r="AD56" s="273" t="str">
        <f>IF($C56="","",VLOOKUP($C56,CTPit!$E$10:$BG$172,AD$49,FALSE))</f>
        <v/>
      </c>
      <c r="AE56" s="273" t="str">
        <f>IF($C56="","",VLOOKUP($C56,CTPit!$E$10:$BG$172,AE$49,FALSE))</f>
        <v/>
      </c>
      <c r="AF56" s="274" t="str">
        <f>IF($C56="","",VLOOKUP($C56,CTPit!$E$10:$BG$172,AF$49,FALSE))</f>
        <v/>
      </c>
      <c r="AG56" s="68" t="str">
        <f>IF($C56="","",VLOOKUP($C56,CTPit!$E$10:$BG$172,AG$49,FALSE))</f>
        <v/>
      </c>
    </row>
    <row r="57" spans="1:33">
      <c r="Z57" s="239"/>
      <c r="AA57" s="239"/>
      <c r="AB57" s="239"/>
    </row>
    <row r="58" spans="1:33" ht="57">
      <c r="A58" s="25" t="s">
        <v>193</v>
      </c>
      <c r="B58" s="234" t="s">
        <v>128</v>
      </c>
      <c r="C58" s="44" t="s">
        <v>118</v>
      </c>
      <c r="D58" s="44" t="s">
        <v>91</v>
      </c>
      <c r="E58" s="44" t="s">
        <v>102</v>
      </c>
      <c r="F58" s="55" t="s">
        <v>190</v>
      </c>
      <c r="G58" s="47" t="s">
        <v>191</v>
      </c>
      <c r="H58" s="56" t="s">
        <v>192</v>
      </c>
      <c r="I58" s="76" t="s">
        <v>212</v>
      </c>
      <c r="J58" s="47" t="s">
        <v>189</v>
      </c>
      <c r="K58" s="79" t="s">
        <v>186</v>
      </c>
      <c r="L58" s="74" t="s">
        <v>187</v>
      </c>
      <c r="M58" s="75" t="s">
        <v>188</v>
      </c>
      <c r="N58" s="74" t="s">
        <v>60</v>
      </c>
      <c r="O58" s="74" t="s">
        <v>62</v>
      </c>
      <c r="P58" s="74" t="s">
        <v>64</v>
      </c>
      <c r="Q58" s="74" t="s">
        <v>66</v>
      </c>
      <c r="R58" s="74" t="s">
        <v>68</v>
      </c>
      <c r="S58" s="74" t="s">
        <v>108</v>
      </c>
      <c r="T58" s="74" t="s">
        <v>71</v>
      </c>
      <c r="U58" s="74" t="s">
        <v>73</v>
      </c>
      <c r="V58" s="74" t="s">
        <v>75</v>
      </c>
      <c r="W58" s="74" t="s">
        <v>77</v>
      </c>
      <c r="X58" s="74" t="s">
        <v>79</v>
      </c>
      <c r="Y58" s="75" t="s">
        <v>81</v>
      </c>
      <c r="Z58" s="79" t="s">
        <v>199</v>
      </c>
      <c r="AA58" s="74" t="s">
        <v>198</v>
      </c>
      <c r="AB58" s="75" t="s">
        <v>200</v>
      </c>
      <c r="AC58" s="288" t="s">
        <v>537</v>
      </c>
      <c r="AD58" s="74" t="s">
        <v>186</v>
      </c>
      <c r="AE58" s="74" t="s">
        <v>187</v>
      </c>
      <c r="AF58" s="75" t="s">
        <v>188</v>
      </c>
      <c r="AG58" s="288" t="s">
        <v>197</v>
      </c>
    </row>
    <row r="59" spans="1:33">
      <c r="A59">
        <v>1</v>
      </c>
      <c r="B59" s="36" t="s">
        <v>109</v>
      </c>
      <c r="C59" s="37"/>
      <c r="D59" s="37" t="str">
        <f>IF($C59="","",VLOOKUP($C59,CTPit!$E$10:$BG$214,D$4,FALSE))</f>
        <v/>
      </c>
      <c r="E59" s="37" t="str">
        <f>IF($C59="","",VLOOKUP($C59,CTPit!$E$10:$BG$214,E$4+1,FALSE))</f>
        <v/>
      </c>
      <c r="F59" s="53" t="str">
        <f t="shared" ref="F59:F60" si="205">IF($C59="","",IF(AG59&gt;7,1,0))</f>
        <v/>
      </c>
      <c r="G59" s="239" t="str">
        <f t="shared" ref="G59:G60" si="206">IF($C59="","",IF(AG59&gt;6.5,1,0))</f>
        <v/>
      </c>
      <c r="H59" s="240" t="str">
        <f t="shared" ref="H59:H60" si="207">IF($C59="","",IF(AG59&gt;6,1,0))</f>
        <v/>
      </c>
      <c r="I59" s="98" t="str">
        <f>IF($C59="","",VLOOKUP($C59,CTPit!$E$10:$BG$172,I$49,FALSE))</f>
        <v/>
      </c>
      <c r="J59" s="239" t="str">
        <f>IF($C59="","",COUNT(N59:Y59))</f>
        <v/>
      </c>
      <c r="K59" s="53" t="str">
        <f>IF($C59="","",VLOOKUP($C59,CTPit!$E$10:$BG$172,K$49,FALSE))</f>
        <v/>
      </c>
      <c r="L59" s="239" t="str">
        <f>IF($C59="","",VLOOKUP($C59,CTPit!$E$10:$BG$172,L$49,FALSE))</f>
        <v/>
      </c>
      <c r="M59" s="240" t="str">
        <f>IF($C59="","",VLOOKUP($C59,CTPit!$E$10:$BG$172,M$49,FALSE))</f>
        <v/>
      </c>
      <c r="N59" s="239" t="str">
        <f>IF($C59="","",VLOOKUP($C59,CTPit!$E$10:$BG$172,N$49,FALSE))</f>
        <v/>
      </c>
      <c r="O59" s="239" t="str">
        <f>IF($C59="","",VLOOKUP($C59,CTPit!$E$10:$BG$172,O$49,FALSE))</f>
        <v/>
      </c>
      <c r="P59" s="239" t="str">
        <f>IF($C59="","",VLOOKUP($C59,CTPit!$E$10:$BG$172,P$49,FALSE))</f>
        <v/>
      </c>
      <c r="Q59" s="239" t="str">
        <f>IF($C59="","",VLOOKUP($C59,CTPit!$E$10:$BG$172,Q$49,FALSE))</f>
        <v/>
      </c>
      <c r="R59" s="239" t="str">
        <f>IF($C59="","",VLOOKUP($C59,CTPit!$E$10:$BG$172,R$49,FALSE))</f>
        <v/>
      </c>
      <c r="S59" s="239" t="str">
        <f>IF($C59="","",VLOOKUP($C59,CTPit!$E$10:$BG$172,S$49,FALSE))</f>
        <v/>
      </c>
      <c r="T59" s="239" t="str">
        <f>IF($C59="","",VLOOKUP($C59,CTPit!$E$10:$BG$172,T$49,FALSE))</f>
        <v/>
      </c>
      <c r="U59" s="239" t="str">
        <f>IF($C59="","",VLOOKUP($C59,CTPit!$E$10:$BG$172,U$49,FALSE))</f>
        <v/>
      </c>
      <c r="V59" s="239" t="str">
        <f>IF($C59="","",VLOOKUP($C59,CTPit!$E$10:$BG$172,V$49,FALSE))</f>
        <v/>
      </c>
      <c r="W59" s="239" t="str">
        <f>IF($C59="","",VLOOKUP($C59,CTPit!$E$10:$BG$172,W$49,FALSE))</f>
        <v/>
      </c>
      <c r="X59" s="239" t="str">
        <f>IF($C59="","",VLOOKUP($C59,CTPit!$E$10:$BG$172,X$49,FALSE))</f>
        <v/>
      </c>
      <c r="Y59" s="240" t="str">
        <f>IF($C59="","",VLOOKUP($C59,CTPit!$E$10:$BG$172,Y$49,FALSE))</f>
        <v/>
      </c>
      <c r="Z59" s="53" t="str">
        <f>IF($C59="","",VLOOKUP($C59,CTPit!$E$10:$BG$172,Z$49,FALSE))</f>
        <v/>
      </c>
      <c r="AA59" s="239" t="str">
        <f>IF($C59="","",VLOOKUP($C59,CTPit!$E$10:$BG$172,AA$49,FALSE))</f>
        <v/>
      </c>
      <c r="AB59" s="80" t="str">
        <f>IF($C59="","",VLOOKUP($C59,CTPit!$E$10:$BG$172,AB$49,FALSE))</f>
        <v/>
      </c>
      <c r="AC59" s="289" t="str">
        <f>IF($C59="","",VLOOKUP($C59,CTPit!$E$10:$BG$172,AC$49,FALSE))</f>
        <v/>
      </c>
      <c r="AD59" s="275" t="str">
        <f>IF($C59="","",VLOOKUP($C59,CTPit!$E$10:$BG$172,AD$49,FALSE))</f>
        <v/>
      </c>
      <c r="AE59" s="275" t="str">
        <f>IF($C59="","",VLOOKUP($C59,CTPit!$E$10:$BG$172,AE$49,FALSE))</f>
        <v/>
      </c>
      <c r="AF59" s="276" t="str">
        <f>IF($C59="","",VLOOKUP($C59,CTPit!$E$10:$BG$172,AF$49,FALSE))</f>
        <v/>
      </c>
      <c r="AG59" s="289" t="str">
        <f>IF($C59="","",VLOOKUP($C59,CTPit!$E$10:$BG$172,AG$49,FALSE))</f>
        <v/>
      </c>
    </row>
    <row r="60" spans="1:33">
      <c r="A60">
        <v>2</v>
      </c>
      <c r="B60" s="39" t="s">
        <v>129</v>
      </c>
      <c r="C60" s="40"/>
      <c r="D60" s="40" t="str">
        <f>IF($C60="","",VLOOKUP($C60,CTPit!$E$10:$BG$214,D$4,FALSE))</f>
        <v/>
      </c>
      <c r="E60" s="40" t="str">
        <f>IF($C60="","",VLOOKUP($C60,CTPit!$E$10:$BG$214,E$4+1,FALSE))</f>
        <v/>
      </c>
      <c r="F60" s="54" t="str">
        <f t="shared" si="205"/>
        <v/>
      </c>
      <c r="G60" s="237" t="str">
        <f t="shared" si="206"/>
        <v/>
      </c>
      <c r="H60" s="238" t="str">
        <f t="shared" si="207"/>
        <v/>
      </c>
      <c r="I60" s="100" t="str">
        <f>IF($C60="","",VLOOKUP($C60,CTPit!$E$10:$BG$172,I$49,FALSE))</f>
        <v/>
      </c>
      <c r="J60" s="237" t="str">
        <f>IF($C60="","",COUNT(N60:Y60))</f>
        <v/>
      </c>
      <c r="K60" s="54" t="str">
        <f>IF($C60="","",VLOOKUP($C60,CTPit!$E$10:$BG$172,K$49,FALSE))</f>
        <v/>
      </c>
      <c r="L60" s="237" t="str">
        <f>IF($C60="","",VLOOKUP($C60,CTPit!$E$10:$BG$172,L$49,FALSE))</f>
        <v/>
      </c>
      <c r="M60" s="238" t="str">
        <f>IF($C60="","",VLOOKUP($C60,CTPit!$E$10:$BG$172,M$49,FALSE))</f>
        <v/>
      </c>
      <c r="N60" s="237" t="str">
        <f>IF($C60="","",VLOOKUP($C60,CTPit!$E$10:$BG$172,N$49,FALSE))</f>
        <v/>
      </c>
      <c r="O60" s="237" t="str">
        <f>IF($C60="","",VLOOKUP($C60,CTPit!$E$10:$BG$172,O$49,FALSE))</f>
        <v/>
      </c>
      <c r="P60" s="237" t="str">
        <f>IF($C60="","",VLOOKUP($C60,CTPit!$E$10:$BG$172,P$49,FALSE))</f>
        <v/>
      </c>
      <c r="Q60" s="237" t="str">
        <f>IF($C60="","",VLOOKUP($C60,CTPit!$E$10:$BG$172,Q$49,FALSE))</f>
        <v/>
      </c>
      <c r="R60" s="237" t="str">
        <f>IF($C60="","",VLOOKUP($C60,CTPit!$E$10:$BG$172,R$49,FALSE))</f>
        <v/>
      </c>
      <c r="S60" s="237" t="str">
        <f>IF($C60="","",VLOOKUP($C60,CTPit!$E$10:$BG$172,S$49,FALSE))</f>
        <v/>
      </c>
      <c r="T60" s="237" t="str">
        <f>IF($C60="","",VLOOKUP($C60,CTPit!$E$10:$BG$172,T$49,FALSE))</f>
        <v/>
      </c>
      <c r="U60" s="237" t="str">
        <f>IF($C60="","",VLOOKUP($C60,CTPit!$E$10:$BG$172,U$49,FALSE))</f>
        <v/>
      </c>
      <c r="V60" s="237" t="str">
        <f>IF($C60="","",VLOOKUP($C60,CTPit!$E$10:$BG$172,V$49,FALSE))</f>
        <v/>
      </c>
      <c r="W60" s="237" t="str">
        <f>IF($C60="","",VLOOKUP($C60,CTPit!$E$10:$BG$172,W$49,FALSE))</f>
        <v/>
      </c>
      <c r="X60" s="237" t="str">
        <f>IF($C60="","",VLOOKUP($C60,CTPit!$E$10:$BG$172,X$49,FALSE))</f>
        <v/>
      </c>
      <c r="Y60" s="238" t="str">
        <f>IF($C60="","",VLOOKUP($C60,CTPit!$E$10:$BG$172,Y$49,FALSE))</f>
        <v/>
      </c>
      <c r="Z60" s="54" t="str">
        <f>IF($C60="","",VLOOKUP($C60,CTPit!$E$10:$BG$172,Z$49,FALSE))</f>
        <v/>
      </c>
      <c r="AA60" s="237" t="str">
        <f>IF($C60="","",VLOOKUP($C60,CTPit!$E$10:$BG$172,AA$49,FALSE))</f>
        <v/>
      </c>
      <c r="AB60" s="81" t="str">
        <f>IF($C60="","",VLOOKUP($C60,CTPit!$E$10:$BG$172,AB$49,FALSE))</f>
        <v/>
      </c>
      <c r="AC60" s="68" t="str">
        <f>IF($C60="","",VLOOKUP($C60,CTPit!$E$10:$BG$172,AC$49,FALSE))</f>
        <v/>
      </c>
      <c r="AD60" s="273" t="str">
        <f>IF($C60="","",VLOOKUP($C60,CTPit!$E$10:$BG$172,AD$49,FALSE))</f>
        <v/>
      </c>
      <c r="AE60" s="273" t="str">
        <f>IF($C60="","",VLOOKUP($C60,CTPit!$E$10:$BG$172,AE$49,FALSE))</f>
        <v/>
      </c>
      <c r="AF60" s="274" t="str">
        <f>IF($C60="","",VLOOKUP($C60,CTPit!$E$10:$BG$172,AF$49,FALSE))</f>
        <v/>
      </c>
      <c r="AG60" s="68" t="str">
        <f>IF($C60="","",VLOOKUP($C60,CTPit!$E$10:$BG$172,AG$49,FALSE))</f>
        <v/>
      </c>
    </row>
    <row r="61" spans="1:33">
      <c r="Z61" s="239"/>
      <c r="AA61" s="239"/>
      <c r="AB61" s="239"/>
    </row>
    <row r="62" spans="1:33" ht="57">
      <c r="A62" s="25" t="s">
        <v>193</v>
      </c>
      <c r="B62" s="234" t="s">
        <v>130</v>
      </c>
      <c r="C62" s="44" t="s">
        <v>118</v>
      </c>
      <c r="D62" s="44" t="s">
        <v>91</v>
      </c>
      <c r="E62" s="44" t="s">
        <v>102</v>
      </c>
      <c r="F62" s="55" t="s">
        <v>190</v>
      </c>
      <c r="G62" s="47" t="s">
        <v>191</v>
      </c>
      <c r="H62" s="56" t="s">
        <v>192</v>
      </c>
      <c r="I62" s="76" t="s">
        <v>212</v>
      </c>
      <c r="J62" s="47" t="s">
        <v>189</v>
      </c>
      <c r="K62" s="79" t="s">
        <v>186</v>
      </c>
      <c r="L62" s="74" t="s">
        <v>187</v>
      </c>
      <c r="M62" s="75" t="s">
        <v>188</v>
      </c>
      <c r="N62" s="74" t="s">
        <v>60</v>
      </c>
      <c r="O62" s="74" t="s">
        <v>62</v>
      </c>
      <c r="P62" s="74" t="s">
        <v>64</v>
      </c>
      <c r="Q62" s="74" t="s">
        <v>66</v>
      </c>
      <c r="R62" s="74" t="s">
        <v>68</v>
      </c>
      <c r="S62" s="74" t="s">
        <v>108</v>
      </c>
      <c r="T62" s="74" t="s">
        <v>71</v>
      </c>
      <c r="U62" s="74" t="s">
        <v>73</v>
      </c>
      <c r="V62" s="74" t="s">
        <v>75</v>
      </c>
      <c r="W62" s="74" t="s">
        <v>77</v>
      </c>
      <c r="X62" s="74" t="s">
        <v>79</v>
      </c>
      <c r="Y62" s="75" t="s">
        <v>81</v>
      </c>
      <c r="Z62" s="79" t="s">
        <v>199</v>
      </c>
      <c r="AA62" s="74" t="s">
        <v>198</v>
      </c>
      <c r="AB62" s="75" t="s">
        <v>200</v>
      </c>
      <c r="AC62" s="288" t="s">
        <v>537</v>
      </c>
      <c r="AD62" s="74" t="s">
        <v>186</v>
      </c>
      <c r="AE62" s="74" t="s">
        <v>187</v>
      </c>
      <c r="AF62" s="75" t="s">
        <v>188</v>
      </c>
      <c r="AG62" s="288" t="s">
        <v>197</v>
      </c>
    </row>
    <row r="63" spans="1:33">
      <c r="A63">
        <v>1</v>
      </c>
      <c r="B63" s="36" t="s">
        <v>131</v>
      </c>
      <c r="C63" s="37"/>
      <c r="D63" s="37" t="str">
        <f>IF($C63="","",VLOOKUP($C63,CTPit!$E$10:$BG$214,D$4,FALSE))</f>
        <v/>
      </c>
      <c r="E63" s="37" t="str">
        <f>IF($C63="","",VLOOKUP($C63,CTPit!$E$10:$BG$214,E$4+1,FALSE))</f>
        <v/>
      </c>
      <c r="F63" s="53" t="str">
        <f t="shared" ref="F63:F72" si="208">IF($C63="","",IF(AG63&gt;7,1,0))</f>
        <v/>
      </c>
      <c r="G63" s="239" t="str">
        <f t="shared" ref="G63:G72" si="209">IF($C63="","",IF(AG63&gt;6.5,1,0))</f>
        <v/>
      </c>
      <c r="H63" s="240" t="str">
        <f t="shared" ref="H63:H72" si="210">IF($C63="","",IF(AG63&gt;6,1,0))</f>
        <v/>
      </c>
      <c r="I63" s="99" t="str">
        <f>IF($C63="","",VLOOKUP($C63,CTPit!$E$10:$BG$172,I$49,FALSE))</f>
        <v/>
      </c>
      <c r="J63" s="239" t="str">
        <f t="shared" ref="J63:J72" si="211">IF($C63="","",COUNT(N63:Y63))</f>
        <v/>
      </c>
      <c r="K63" s="53" t="str">
        <f>IF($C63="","",VLOOKUP($C63,CTPit!$E$10:$BG$172,K$49,FALSE))</f>
        <v/>
      </c>
      <c r="L63" s="239" t="str">
        <f>IF($C63="","",VLOOKUP($C63,CTPit!$E$10:$BG$172,L$49,FALSE))</f>
        <v/>
      </c>
      <c r="M63" s="240" t="str">
        <f>IF($C63="","",VLOOKUP($C63,CTPit!$E$10:$BG$172,M$49,FALSE))</f>
        <v/>
      </c>
      <c r="N63" s="239" t="str">
        <f>IF($C63="","",VLOOKUP($C63,CTPit!$E$10:$BG$172,N$49,FALSE))</f>
        <v/>
      </c>
      <c r="O63" s="239" t="str">
        <f>IF($C63="","",VLOOKUP($C63,CTPit!$E$10:$BG$172,O$49,FALSE))</f>
        <v/>
      </c>
      <c r="P63" s="239" t="str">
        <f>IF($C63="","",VLOOKUP($C63,CTPit!$E$10:$BG$172,P$49,FALSE))</f>
        <v/>
      </c>
      <c r="Q63" s="239" t="str">
        <f>IF($C63="","",VLOOKUP($C63,CTPit!$E$10:$BG$172,Q$49,FALSE))</f>
        <v/>
      </c>
      <c r="R63" s="239" t="str">
        <f>IF($C63="","",VLOOKUP($C63,CTPit!$E$10:$BG$172,R$49,FALSE))</f>
        <v/>
      </c>
      <c r="S63" s="239" t="str">
        <f>IF($C63="","",VLOOKUP($C63,CTPit!$E$10:$BG$172,S$49,FALSE))</f>
        <v/>
      </c>
      <c r="T63" s="239" t="str">
        <f>IF($C63="","",VLOOKUP($C63,CTPit!$E$10:$BG$172,T$49,FALSE))</f>
        <v/>
      </c>
      <c r="U63" s="239" t="str">
        <f>IF($C63="","",VLOOKUP($C63,CTPit!$E$10:$BG$172,U$49,FALSE))</f>
        <v/>
      </c>
      <c r="V63" s="239" t="str">
        <f>IF($C63="","",VLOOKUP($C63,CTPit!$E$10:$BG$172,V$49,FALSE))</f>
        <v/>
      </c>
      <c r="W63" s="239" t="str">
        <f>IF($C63="","",VLOOKUP($C63,CTPit!$E$10:$BG$172,W$49,FALSE))</f>
        <v/>
      </c>
      <c r="X63" s="239" t="str">
        <f>IF($C63="","",VLOOKUP($C63,CTPit!$E$10:$BG$172,X$49,FALSE))</f>
        <v/>
      </c>
      <c r="Y63" s="240" t="str">
        <f>IF($C63="","",VLOOKUP($C63,CTPit!$E$10:$BG$172,Y$49,FALSE))</f>
        <v/>
      </c>
      <c r="Z63" s="53" t="str">
        <f>IF($C63="","",VLOOKUP($C63,CTPit!$E$10:$BG$172,Z$49,FALSE))</f>
        <v/>
      </c>
      <c r="AA63" s="239" t="str">
        <f>IF($C63="","",VLOOKUP($C63,CTPit!$E$10:$BG$172,AA$49,FALSE))</f>
        <v/>
      </c>
      <c r="AB63" s="80" t="str">
        <f>IF($C63="","",VLOOKUP($C63,CTPit!$E$10:$BG$172,AB$49,FALSE))</f>
        <v/>
      </c>
      <c r="AC63" s="289" t="str">
        <f>IF($C63="","",VLOOKUP($C63,CTPit!$E$10:$BG$172,AC$49,FALSE))</f>
        <v/>
      </c>
      <c r="AD63" s="275" t="str">
        <f>IF($C63="","",VLOOKUP($C63,CTPit!$E$10:$BG$172,AD$49,FALSE))</f>
        <v/>
      </c>
      <c r="AE63" s="275" t="str">
        <f>IF($C63="","",VLOOKUP($C63,CTPit!$E$10:$BG$172,AE$49,FALSE))</f>
        <v/>
      </c>
      <c r="AF63" s="276" t="str">
        <f>IF($C63="","",VLOOKUP($C63,CTPit!$E$10:$BG$172,AF$49,FALSE))</f>
        <v/>
      </c>
      <c r="AG63" s="289" t="str">
        <f>IF($C63="","",VLOOKUP($C63,CTPit!$E$10:$BG$172,AG$49,FALSE))</f>
        <v/>
      </c>
    </row>
    <row r="64" spans="1:33">
      <c r="A64">
        <v>2</v>
      </c>
      <c r="B64" s="36" t="s">
        <v>132</v>
      </c>
      <c r="C64" s="65"/>
      <c r="D64" s="37" t="str">
        <f>IF($C64="","",VLOOKUP($C64,CTPit!$E$10:$BG$214,D$4,FALSE))</f>
        <v/>
      </c>
      <c r="E64" s="37" t="str">
        <f>IF($C64="","",VLOOKUP($C64,CTPit!$E$10:$BG$214,E$4+1,FALSE))</f>
        <v/>
      </c>
      <c r="F64" s="53" t="str">
        <f t="shared" si="208"/>
        <v/>
      </c>
      <c r="G64" s="239" t="str">
        <f t="shared" si="209"/>
        <v/>
      </c>
      <c r="H64" s="240" t="str">
        <f t="shared" si="210"/>
        <v/>
      </c>
      <c r="I64" s="99" t="str">
        <f>IF($C64="","",VLOOKUP($C64,CTPit!$E$10:$BG$172,I$49,FALSE))</f>
        <v/>
      </c>
      <c r="J64" s="239" t="str">
        <f t="shared" si="211"/>
        <v/>
      </c>
      <c r="K64" s="53" t="str">
        <f>IF($C64="","",VLOOKUP($C64,CTPit!$E$10:$BG$172,K$49,FALSE))</f>
        <v/>
      </c>
      <c r="L64" s="239" t="str">
        <f>IF($C64="","",VLOOKUP($C64,CTPit!$E$10:$BG$172,L$49,FALSE))</f>
        <v/>
      </c>
      <c r="M64" s="240" t="str">
        <f>IF($C64="","",VLOOKUP($C64,CTPit!$E$10:$BG$172,M$49,FALSE))</f>
        <v/>
      </c>
      <c r="N64" s="239" t="str">
        <f>IF($C64="","",VLOOKUP($C64,CTPit!$E$10:$BG$172,N$49,FALSE))</f>
        <v/>
      </c>
      <c r="O64" s="239" t="str">
        <f>IF($C64="","",VLOOKUP($C64,CTPit!$E$10:$BG$172,O$49,FALSE))</f>
        <v/>
      </c>
      <c r="P64" s="239" t="str">
        <f>IF($C64="","",VLOOKUP($C64,CTPit!$E$10:$BG$172,P$49,FALSE))</f>
        <v/>
      </c>
      <c r="Q64" s="239" t="str">
        <f>IF($C64="","",VLOOKUP($C64,CTPit!$E$10:$BG$172,Q$49,FALSE))</f>
        <v/>
      </c>
      <c r="R64" s="239" t="str">
        <f>IF($C64="","",VLOOKUP($C64,CTPit!$E$10:$BG$172,R$49,FALSE))</f>
        <v/>
      </c>
      <c r="S64" s="239" t="str">
        <f>IF($C64="","",VLOOKUP($C64,CTPit!$E$10:$BG$172,S$49,FALSE))</f>
        <v/>
      </c>
      <c r="T64" s="239" t="str">
        <f>IF($C64="","",VLOOKUP($C64,CTPit!$E$10:$BG$172,T$49,FALSE))</f>
        <v/>
      </c>
      <c r="U64" s="239" t="str">
        <f>IF($C64="","",VLOOKUP($C64,CTPit!$E$10:$BG$172,U$49,FALSE))</f>
        <v/>
      </c>
      <c r="V64" s="239" t="str">
        <f>IF($C64="","",VLOOKUP($C64,CTPit!$E$10:$BG$172,V$49,FALSE))</f>
        <v/>
      </c>
      <c r="W64" s="239" t="str">
        <f>IF($C64="","",VLOOKUP($C64,CTPit!$E$10:$BG$172,W$49,FALSE))</f>
        <v/>
      </c>
      <c r="X64" s="239" t="str">
        <f>IF($C64="","",VLOOKUP($C64,CTPit!$E$10:$BG$172,X$49,FALSE))</f>
        <v/>
      </c>
      <c r="Y64" s="240" t="str">
        <f>IF($C64="","",VLOOKUP($C64,CTPit!$E$10:$BG$172,Y$49,FALSE))</f>
        <v/>
      </c>
      <c r="Z64" s="53" t="str">
        <f>IF($C64="","",VLOOKUP($C64,CTPit!$E$10:$BG$172,Z$49,FALSE))</f>
        <v/>
      </c>
      <c r="AA64" s="239" t="str">
        <f>IF($C64="","",VLOOKUP($C64,CTPit!$E$10:$BG$172,AA$49,FALSE))</f>
        <v/>
      </c>
      <c r="AB64" s="80" t="str">
        <f>IF($C64="","",VLOOKUP($C64,CTPit!$E$10:$BG$172,AB$49,FALSE))</f>
        <v/>
      </c>
      <c r="AC64" s="67" t="str">
        <f>IF($C64="","",VLOOKUP($C64,CTPit!$E$10:$BG$172,AC$49,FALSE))</f>
        <v/>
      </c>
      <c r="AD64" s="275" t="str">
        <f>IF($C64="","",VLOOKUP($C64,CTPit!$E$10:$BG$172,AD$49,FALSE))</f>
        <v/>
      </c>
      <c r="AE64" s="275" t="str">
        <f>IF($C64="","",VLOOKUP($C64,CTPit!$E$10:$BG$172,AE$49,FALSE))</f>
        <v/>
      </c>
      <c r="AF64" s="276" t="str">
        <f>IF($C64="","",VLOOKUP($C64,CTPit!$E$10:$BG$172,AF$49,FALSE))</f>
        <v/>
      </c>
      <c r="AG64" s="67" t="str">
        <f>IF($C64="","",VLOOKUP($C64,CTPit!$E$10:$BG$172,AG$49,FALSE))</f>
        <v/>
      </c>
    </row>
    <row r="65" spans="1:33">
      <c r="A65">
        <v>3</v>
      </c>
      <c r="B65" s="36" t="s">
        <v>19</v>
      </c>
      <c r="C65" s="65"/>
      <c r="D65" s="37" t="str">
        <f>IF($C65="","",VLOOKUP($C65,CTPit!$E$10:$BG$214,D$4,FALSE))</f>
        <v/>
      </c>
      <c r="E65" s="37" t="str">
        <f>IF($C65="","",VLOOKUP($C65,CTPit!$E$10:$BG$214,E$4+1,FALSE))</f>
        <v/>
      </c>
      <c r="F65" s="53" t="str">
        <f t="shared" si="208"/>
        <v/>
      </c>
      <c r="G65" s="239" t="str">
        <f t="shared" si="209"/>
        <v/>
      </c>
      <c r="H65" s="240" t="str">
        <f t="shared" si="210"/>
        <v/>
      </c>
      <c r="I65" s="99" t="str">
        <f>IF($C65="","",VLOOKUP($C65,CTPit!$E$10:$BG$172,I$49,FALSE))</f>
        <v/>
      </c>
      <c r="J65" s="239" t="str">
        <f t="shared" si="211"/>
        <v/>
      </c>
      <c r="K65" s="53" t="str">
        <f>IF($C65="","",VLOOKUP($C65,CTPit!$E$10:$BG$172,K$49,FALSE))</f>
        <v/>
      </c>
      <c r="L65" s="239" t="str">
        <f>IF($C65="","",VLOOKUP($C65,CTPit!$E$10:$BG$172,L$49,FALSE))</f>
        <v/>
      </c>
      <c r="M65" s="240" t="str">
        <f>IF($C65="","",VLOOKUP($C65,CTPit!$E$10:$BG$172,M$49,FALSE))</f>
        <v/>
      </c>
      <c r="N65" s="239" t="str">
        <f>IF($C65="","",VLOOKUP($C65,CTPit!$E$10:$BG$172,N$49,FALSE))</f>
        <v/>
      </c>
      <c r="O65" s="239" t="str">
        <f>IF($C65="","",VLOOKUP($C65,CTPit!$E$10:$BG$172,O$49,FALSE))</f>
        <v/>
      </c>
      <c r="P65" s="239" t="str">
        <f>IF($C65="","",VLOOKUP($C65,CTPit!$E$10:$BG$172,P$49,FALSE))</f>
        <v/>
      </c>
      <c r="Q65" s="239" t="str">
        <f>IF($C65="","",VLOOKUP($C65,CTPit!$E$10:$BG$172,Q$49,FALSE))</f>
        <v/>
      </c>
      <c r="R65" s="239" t="str">
        <f>IF($C65="","",VLOOKUP($C65,CTPit!$E$10:$BG$172,R$49,FALSE))</f>
        <v/>
      </c>
      <c r="S65" s="239" t="str">
        <f>IF($C65="","",VLOOKUP($C65,CTPit!$E$10:$BG$172,S$49,FALSE))</f>
        <v/>
      </c>
      <c r="T65" s="239" t="str">
        <f>IF($C65="","",VLOOKUP($C65,CTPit!$E$10:$BG$172,T$49,FALSE))</f>
        <v/>
      </c>
      <c r="U65" s="239" t="str">
        <f>IF($C65="","",VLOOKUP($C65,CTPit!$E$10:$BG$172,U$49,FALSE))</f>
        <v/>
      </c>
      <c r="V65" s="239" t="str">
        <f>IF($C65="","",VLOOKUP($C65,CTPit!$E$10:$BG$172,V$49,FALSE))</f>
        <v/>
      </c>
      <c r="W65" s="239" t="str">
        <f>IF($C65="","",VLOOKUP($C65,CTPit!$E$10:$BG$172,W$49,FALSE))</f>
        <v/>
      </c>
      <c r="X65" s="239" t="str">
        <f>IF($C65="","",VLOOKUP($C65,CTPit!$E$10:$BG$172,X$49,FALSE))</f>
        <v/>
      </c>
      <c r="Y65" s="240" t="str">
        <f>IF($C65="","",VLOOKUP($C65,CTPit!$E$10:$BG$172,Y$49,FALSE))</f>
        <v/>
      </c>
      <c r="Z65" s="53" t="str">
        <f>IF($C65="","",VLOOKUP($C65,CTPit!$E$10:$BG$172,Z$49,FALSE))</f>
        <v/>
      </c>
      <c r="AA65" s="239" t="str">
        <f>IF($C65="","",VLOOKUP($C65,CTPit!$E$10:$BG$172,AA$49,FALSE))</f>
        <v/>
      </c>
      <c r="AB65" s="80" t="str">
        <f>IF($C65="","",VLOOKUP($C65,CTPit!$E$10:$BG$172,AB$49,FALSE))</f>
        <v/>
      </c>
      <c r="AC65" s="67" t="str">
        <f>IF($C65="","",VLOOKUP($C65,CTPit!$E$10:$BG$172,AC$49,FALSE))</f>
        <v/>
      </c>
      <c r="AD65" s="275" t="str">
        <f>IF($C65="","",VLOOKUP($C65,CTPit!$E$10:$BG$172,AD$49,FALSE))</f>
        <v/>
      </c>
      <c r="AE65" s="275" t="str">
        <f>IF($C65="","",VLOOKUP($C65,CTPit!$E$10:$BG$172,AE$49,FALSE))</f>
        <v/>
      </c>
      <c r="AF65" s="276" t="str">
        <f>IF($C65="","",VLOOKUP($C65,CTPit!$E$10:$BG$172,AF$49,FALSE))</f>
        <v/>
      </c>
      <c r="AG65" s="67" t="str">
        <f>IF($C65="","",VLOOKUP($C65,CTPit!$E$10:$BG$172,AG$49,FALSE))</f>
        <v/>
      </c>
    </row>
    <row r="66" spans="1:33">
      <c r="A66">
        <v>4</v>
      </c>
      <c r="B66" s="36" t="s">
        <v>19</v>
      </c>
      <c r="C66" s="65"/>
      <c r="D66" s="37" t="str">
        <f>IF($C66="","",VLOOKUP($C66,CTPit!$E$10:$BG$214,D$4,FALSE))</f>
        <v/>
      </c>
      <c r="E66" s="37" t="str">
        <f>IF($C66="","",VLOOKUP($C66,CTPit!$E$10:$BG$214,E$4+1,FALSE))</f>
        <v/>
      </c>
      <c r="F66" s="53" t="str">
        <f t="shared" si="208"/>
        <v/>
      </c>
      <c r="G66" s="239" t="str">
        <f t="shared" si="209"/>
        <v/>
      </c>
      <c r="H66" s="240" t="str">
        <f t="shared" si="210"/>
        <v/>
      </c>
      <c r="I66" s="99" t="str">
        <f>IF($C66="","",VLOOKUP($C66,CTPit!$E$10:$BG$172,I$49,FALSE))</f>
        <v/>
      </c>
      <c r="J66" s="239" t="str">
        <f t="shared" si="211"/>
        <v/>
      </c>
      <c r="K66" s="53" t="str">
        <f>IF($C66="","",VLOOKUP($C66,CTPit!$E$10:$BG$172,K$49,FALSE))</f>
        <v/>
      </c>
      <c r="L66" s="239" t="str">
        <f>IF($C66="","",VLOOKUP($C66,CTPit!$E$10:$BG$172,L$49,FALSE))</f>
        <v/>
      </c>
      <c r="M66" s="240" t="str">
        <f>IF($C66="","",VLOOKUP($C66,CTPit!$E$10:$BG$172,M$49,FALSE))</f>
        <v/>
      </c>
      <c r="N66" s="239" t="str">
        <f>IF($C66="","",VLOOKUP($C66,CTPit!$E$10:$BG$172,N$49,FALSE))</f>
        <v/>
      </c>
      <c r="O66" s="239" t="str">
        <f>IF($C66="","",VLOOKUP($C66,CTPit!$E$10:$BG$172,O$49,FALSE))</f>
        <v/>
      </c>
      <c r="P66" s="239" t="str">
        <f>IF($C66="","",VLOOKUP($C66,CTPit!$E$10:$BG$172,P$49,FALSE))</f>
        <v/>
      </c>
      <c r="Q66" s="239" t="str">
        <f>IF($C66="","",VLOOKUP($C66,CTPit!$E$10:$BG$172,Q$49,FALSE))</f>
        <v/>
      </c>
      <c r="R66" s="239" t="str">
        <f>IF($C66="","",VLOOKUP($C66,CTPit!$E$10:$BG$172,R$49,FALSE))</f>
        <v/>
      </c>
      <c r="S66" s="239" t="str">
        <f>IF($C66="","",VLOOKUP($C66,CTPit!$E$10:$BG$172,S$49,FALSE))</f>
        <v/>
      </c>
      <c r="T66" s="239" t="str">
        <f>IF($C66="","",VLOOKUP($C66,CTPit!$E$10:$BG$172,T$49,FALSE))</f>
        <v/>
      </c>
      <c r="U66" s="239" t="str">
        <f>IF($C66="","",VLOOKUP($C66,CTPit!$E$10:$BG$172,U$49,FALSE))</f>
        <v/>
      </c>
      <c r="V66" s="239" t="str">
        <f>IF($C66="","",VLOOKUP($C66,CTPit!$E$10:$BG$172,V$49,FALSE))</f>
        <v/>
      </c>
      <c r="W66" s="239" t="str">
        <f>IF($C66="","",VLOOKUP($C66,CTPit!$E$10:$BG$172,W$49,FALSE))</f>
        <v/>
      </c>
      <c r="X66" s="239" t="str">
        <f>IF($C66="","",VLOOKUP($C66,CTPit!$E$10:$BG$172,X$49,FALSE))</f>
        <v/>
      </c>
      <c r="Y66" s="240" t="str">
        <f>IF($C66="","",VLOOKUP($C66,CTPit!$E$10:$BG$172,Y$49,FALSE))</f>
        <v/>
      </c>
      <c r="Z66" s="53" t="str">
        <f>IF($C66="","",VLOOKUP($C66,CTPit!$E$10:$BG$172,Z$49,FALSE))</f>
        <v/>
      </c>
      <c r="AA66" s="239" t="str">
        <f>IF($C66="","",VLOOKUP($C66,CTPit!$E$10:$BG$172,AA$49,FALSE))</f>
        <v/>
      </c>
      <c r="AB66" s="80" t="str">
        <f>IF($C66="","",VLOOKUP($C66,CTPit!$E$10:$BG$172,AB$49,FALSE))</f>
        <v/>
      </c>
      <c r="AC66" s="67" t="str">
        <f>IF($C66="","",VLOOKUP($C66,CTPit!$E$10:$BG$172,AC$49,FALSE))</f>
        <v/>
      </c>
      <c r="AD66" s="275" t="str">
        <f>IF($C66="","",VLOOKUP($C66,CTPit!$E$10:$BG$172,AD$49,FALSE))</f>
        <v/>
      </c>
      <c r="AE66" s="275" t="str">
        <f>IF($C66="","",VLOOKUP($C66,CTPit!$E$10:$BG$172,AE$49,FALSE))</f>
        <v/>
      </c>
      <c r="AF66" s="276" t="str">
        <f>IF($C66="","",VLOOKUP($C66,CTPit!$E$10:$BG$172,AF$49,FALSE))</f>
        <v/>
      </c>
      <c r="AG66" s="67" t="str">
        <f>IF($C66="","",VLOOKUP($C66,CTPit!$E$10:$BG$172,AG$49,FALSE))</f>
        <v/>
      </c>
    </row>
    <row r="67" spans="1:33">
      <c r="A67">
        <v>5</v>
      </c>
      <c r="B67" s="36" t="s">
        <v>19</v>
      </c>
      <c r="C67" s="65"/>
      <c r="D67" s="37" t="str">
        <f>IF($C67="","",VLOOKUP($C67,CTPit!$E$10:$BG$214,D$4,FALSE))</f>
        <v/>
      </c>
      <c r="E67" s="37" t="str">
        <f>IF($C67="","",VLOOKUP($C67,CTPit!$E$10:$BG$214,E$4+1,FALSE))</f>
        <v/>
      </c>
      <c r="F67" s="53" t="str">
        <f t="shared" si="208"/>
        <v/>
      </c>
      <c r="G67" s="239" t="str">
        <f t="shared" si="209"/>
        <v/>
      </c>
      <c r="H67" s="240" t="str">
        <f t="shared" si="210"/>
        <v/>
      </c>
      <c r="I67" s="99" t="str">
        <f>IF($C67="","",VLOOKUP($C67,CTPit!$E$10:$BG$172,I$49,FALSE))</f>
        <v/>
      </c>
      <c r="J67" s="239" t="str">
        <f t="shared" ref="J67:J71" si="212">IF($C67="","",COUNT(N67:Y67))</f>
        <v/>
      </c>
      <c r="K67" s="53" t="str">
        <f>IF($C67="","",VLOOKUP($C67,CTPit!$E$10:$BG$172,K$49,FALSE))</f>
        <v/>
      </c>
      <c r="L67" s="239" t="str">
        <f>IF($C67="","",VLOOKUP($C67,CTPit!$E$10:$BG$172,L$49,FALSE))</f>
        <v/>
      </c>
      <c r="M67" s="240" t="str">
        <f>IF($C67="","",VLOOKUP($C67,CTPit!$E$10:$BG$172,M$49,FALSE))</f>
        <v/>
      </c>
      <c r="N67" s="239" t="str">
        <f>IF($C67="","",VLOOKUP($C67,CTPit!$E$10:$BG$172,N$49,FALSE))</f>
        <v/>
      </c>
      <c r="O67" s="239" t="str">
        <f>IF($C67="","",VLOOKUP($C67,CTPit!$E$10:$BG$172,O$49,FALSE))</f>
        <v/>
      </c>
      <c r="P67" s="239" t="str">
        <f>IF($C67="","",VLOOKUP($C67,CTPit!$E$10:$BG$172,P$49,FALSE))</f>
        <v/>
      </c>
      <c r="Q67" s="239" t="str">
        <f>IF($C67="","",VLOOKUP($C67,CTPit!$E$10:$BG$172,Q$49,FALSE))</f>
        <v/>
      </c>
      <c r="R67" s="239" t="str">
        <f>IF($C67="","",VLOOKUP($C67,CTPit!$E$10:$BG$172,R$49,FALSE))</f>
        <v/>
      </c>
      <c r="S67" s="239" t="str">
        <f>IF($C67="","",VLOOKUP($C67,CTPit!$E$10:$BG$172,S$49,FALSE))</f>
        <v/>
      </c>
      <c r="T67" s="239" t="str">
        <f>IF($C67="","",VLOOKUP($C67,CTPit!$E$10:$BG$172,T$49,FALSE))</f>
        <v/>
      </c>
      <c r="U67" s="239" t="str">
        <f>IF($C67="","",VLOOKUP($C67,CTPit!$E$10:$BG$172,U$49,FALSE))</f>
        <v/>
      </c>
      <c r="V67" s="239" t="str">
        <f>IF($C67="","",VLOOKUP($C67,CTPit!$E$10:$BG$172,V$49,FALSE))</f>
        <v/>
      </c>
      <c r="W67" s="239" t="str">
        <f>IF($C67="","",VLOOKUP($C67,CTPit!$E$10:$BG$172,W$49,FALSE))</f>
        <v/>
      </c>
      <c r="X67" s="239" t="str">
        <f>IF($C67="","",VLOOKUP($C67,CTPit!$E$10:$BG$172,X$49,FALSE))</f>
        <v/>
      </c>
      <c r="Y67" s="240" t="str">
        <f>IF($C67="","",VLOOKUP($C67,CTPit!$E$10:$BG$172,Y$49,FALSE))</f>
        <v/>
      </c>
      <c r="Z67" s="53" t="str">
        <f>IF($C67="","",VLOOKUP($C67,CTPit!$E$10:$BG$172,Z$49,FALSE))</f>
        <v/>
      </c>
      <c r="AA67" s="239" t="str">
        <f>IF($C67="","",VLOOKUP($C67,CTPit!$E$10:$BG$172,AA$49,FALSE))</f>
        <v/>
      </c>
      <c r="AB67" s="80" t="str">
        <f>IF($C67="","",VLOOKUP($C67,CTPit!$E$10:$BG$172,AB$49,FALSE))</f>
        <v/>
      </c>
      <c r="AC67" s="67" t="str">
        <f>IF($C67="","",VLOOKUP($C67,CTPit!$E$10:$BG$172,AC$49,FALSE))</f>
        <v/>
      </c>
      <c r="AD67" s="275" t="str">
        <f>IF($C67="","",VLOOKUP($C67,CTPit!$E$10:$BG$172,AD$49,FALSE))</f>
        <v/>
      </c>
      <c r="AE67" s="275" t="str">
        <f>IF($C67="","",VLOOKUP($C67,CTPit!$E$10:$BG$172,AE$49,FALSE))</f>
        <v/>
      </c>
      <c r="AF67" s="276" t="str">
        <f>IF($C67="","",VLOOKUP($C67,CTPit!$E$10:$BG$172,AF$49,FALSE))</f>
        <v/>
      </c>
      <c r="AG67" s="67" t="str">
        <f>IF($C67="","",VLOOKUP($C67,CTPit!$E$10:$BG$172,AG$49,FALSE))</f>
        <v/>
      </c>
    </row>
    <row r="68" spans="1:33">
      <c r="A68">
        <v>6</v>
      </c>
      <c r="B68" s="36" t="s">
        <v>19</v>
      </c>
      <c r="C68" s="65"/>
      <c r="D68" s="37" t="str">
        <f>IF($C68="","",VLOOKUP($C68,CTPit!$E$10:$BG$214,D$4,FALSE))</f>
        <v/>
      </c>
      <c r="E68" s="37" t="str">
        <f>IF($C68="","",VLOOKUP($C68,CTPit!$E$10:$BG$214,E$4+1,FALSE))</f>
        <v/>
      </c>
      <c r="F68" s="53" t="str">
        <f t="shared" si="208"/>
        <v/>
      </c>
      <c r="G68" s="239" t="str">
        <f t="shared" si="209"/>
        <v/>
      </c>
      <c r="H68" s="240" t="str">
        <f t="shared" si="210"/>
        <v/>
      </c>
      <c r="I68" s="99" t="str">
        <f>IF($C68="","",VLOOKUP($C68,CTPit!$E$10:$BG$172,I$49,FALSE))</f>
        <v/>
      </c>
      <c r="J68" s="239" t="str">
        <f t="shared" si="212"/>
        <v/>
      </c>
      <c r="K68" s="53" t="str">
        <f>IF($C68="","",VLOOKUP($C68,CTPit!$E$10:$BG$172,K$49,FALSE))</f>
        <v/>
      </c>
      <c r="L68" s="239" t="str">
        <f>IF($C68="","",VLOOKUP($C68,CTPit!$E$10:$BG$172,L$49,FALSE))</f>
        <v/>
      </c>
      <c r="M68" s="240" t="str">
        <f>IF($C68="","",VLOOKUP($C68,CTPit!$E$10:$BG$172,M$49,FALSE))</f>
        <v/>
      </c>
      <c r="N68" s="239" t="str">
        <f>IF($C68="","",VLOOKUP($C68,CTPit!$E$10:$BG$172,N$49,FALSE))</f>
        <v/>
      </c>
      <c r="O68" s="239" t="str">
        <f>IF($C68="","",VLOOKUP($C68,CTPit!$E$10:$BG$172,O$49,FALSE))</f>
        <v/>
      </c>
      <c r="P68" s="239" t="str">
        <f>IF($C68="","",VLOOKUP($C68,CTPit!$E$10:$BG$172,P$49,FALSE))</f>
        <v/>
      </c>
      <c r="Q68" s="239" t="str">
        <f>IF($C68="","",VLOOKUP($C68,CTPit!$E$10:$BG$172,Q$49,FALSE))</f>
        <v/>
      </c>
      <c r="R68" s="239" t="str">
        <f>IF($C68="","",VLOOKUP($C68,CTPit!$E$10:$BG$172,R$49,FALSE))</f>
        <v/>
      </c>
      <c r="S68" s="239" t="str">
        <f>IF($C68="","",VLOOKUP($C68,CTPit!$E$10:$BG$172,S$49,FALSE))</f>
        <v/>
      </c>
      <c r="T68" s="239" t="str">
        <f>IF($C68="","",VLOOKUP($C68,CTPit!$E$10:$BG$172,T$49,FALSE))</f>
        <v/>
      </c>
      <c r="U68" s="239" t="str">
        <f>IF($C68="","",VLOOKUP($C68,CTPit!$E$10:$BG$172,U$49,FALSE))</f>
        <v/>
      </c>
      <c r="V68" s="239" t="str">
        <f>IF($C68="","",VLOOKUP($C68,CTPit!$E$10:$BG$172,V$49,FALSE))</f>
        <v/>
      </c>
      <c r="W68" s="239" t="str">
        <f>IF($C68="","",VLOOKUP($C68,CTPit!$E$10:$BG$172,W$49,FALSE))</f>
        <v/>
      </c>
      <c r="X68" s="239" t="str">
        <f>IF($C68="","",VLOOKUP($C68,CTPit!$E$10:$BG$172,X$49,FALSE))</f>
        <v/>
      </c>
      <c r="Y68" s="240" t="str">
        <f>IF($C68="","",VLOOKUP($C68,CTPit!$E$10:$BG$172,Y$49,FALSE))</f>
        <v/>
      </c>
      <c r="Z68" s="53" t="str">
        <f>IF($C68="","",VLOOKUP($C68,CTPit!$E$10:$BG$172,Z$49,FALSE))</f>
        <v/>
      </c>
      <c r="AA68" s="239" t="str">
        <f>IF($C68="","",VLOOKUP($C68,CTPit!$E$10:$BG$172,AA$49,FALSE))</f>
        <v/>
      </c>
      <c r="AB68" s="80" t="str">
        <f>IF($C68="","",VLOOKUP($C68,CTPit!$E$10:$BG$172,AB$49,FALSE))</f>
        <v/>
      </c>
      <c r="AC68" s="67" t="str">
        <f>IF($C68="","",VLOOKUP($C68,CTPit!$E$10:$BG$172,AC$49,FALSE))</f>
        <v/>
      </c>
      <c r="AD68" s="275" t="str">
        <f>IF($C68="","",VLOOKUP($C68,CTPit!$E$10:$BG$172,AD$49,FALSE))</f>
        <v/>
      </c>
      <c r="AE68" s="275" t="str">
        <f>IF($C68="","",VLOOKUP($C68,CTPit!$E$10:$BG$172,AE$49,FALSE))</f>
        <v/>
      </c>
      <c r="AF68" s="276" t="str">
        <f>IF($C68="","",VLOOKUP($C68,CTPit!$E$10:$BG$172,AF$49,FALSE))</f>
        <v/>
      </c>
      <c r="AG68" s="67" t="str">
        <f>IF($C68="","",VLOOKUP($C68,CTPit!$E$10:$BG$172,AG$49,FALSE))</f>
        <v/>
      </c>
    </row>
    <row r="69" spans="1:33">
      <c r="A69">
        <v>7</v>
      </c>
      <c r="B69" s="36" t="s">
        <v>19</v>
      </c>
      <c r="C69" s="65"/>
      <c r="D69" s="37" t="str">
        <f>IF($C69="","",VLOOKUP($C69,CTPit!$E$10:$BG$214,D$4,FALSE))</f>
        <v/>
      </c>
      <c r="E69" s="37" t="str">
        <f>IF($C69="","",VLOOKUP($C69,CTPit!$E$10:$BG$214,E$4+1,FALSE))</f>
        <v/>
      </c>
      <c r="F69" s="53" t="str">
        <f t="shared" si="208"/>
        <v/>
      </c>
      <c r="G69" s="239" t="str">
        <f t="shared" si="209"/>
        <v/>
      </c>
      <c r="H69" s="240" t="str">
        <f t="shared" si="210"/>
        <v/>
      </c>
      <c r="I69" s="99" t="str">
        <f>IF($C69="","",VLOOKUP($C69,CTPit!$E$10:$BG$172,I$49,FALSE))</f>
        <v/>
      </c>
      <c r="J69" s="239" t="str">
        <f t="shared" si="212"/>
        <v/>
      </c>
      <c r="K69" s="53" t="str">
        <f>IF($C69="","",VLOOKUP($C69,CTPit!$E$10:$BG$172,K$49,FALSE))</f>
        <v/>
      </c>
      <c r="L69" s="239" t="str">
        <f>IF($C69="","",VLOOKUP($C69,CTPit!$E$10:$BG$172,L$49,FALSE))</f>
        <v/>
      </c>
      <c r="M69" s="240" t="str">
        <f>IF($C69="","",VLOOKUP($C69,CTPit!$E$10:$BG$172,M$49,FALSE))</f>
        <v/>
      </c>
      <c r="N69" s="239" t="str">
        <f>IF($C69="","",VLOOKUP($C69,CTPit!$E$10:$BG$172,N$49,FALSE))</f>
        <v/>
      </c>
      <c r="O69" s="239" t="str">
        <f>IF($C69="","",VLOOKUP($C69,CTPit!$E$10:$BG$172,O$49,FALSE))</f>
        <v/>
      </c>
      <c r="P69" s="239" t="str">
        <f>IF($C69="","",VLOOKUP($C69,CTPit!$E$10:$BG$172,P$49,FALSE))</f>
        <v/>
      </c>
      <c r="Q69" s="239" t="str">
        <f>IF($C69="","",VLOOKUP($C69,CTPit!$E$10:$BG$172,Q$49,FALSE))</f>
        <v/>
      </c>
      <c r="R69" s="239" t="str">
        <f>IF($C69="","",VLOOKUP($C69,CTPit!$E$10:$BG$172,R$49,FALSE))</f>
        <v/>
      </c>
      <c r="S69" s="239" t="str">
        <f>IF($C69="","",VLOOKUP($C69,CTPit!$E$10:$BG$172,S$49,FALSE))</f>
        <v/>
      </c>
      <c r="T69" s="239" t="str">
        <f>IF($C69="","",VLOOKUP($C69,CTPit!$E$10:$BG$172,T$49,FALSE))</f>
        <v/>
      </c>
      <c r="U69" s="239" t="str">
        <f>IF($C69="","",VLOOKUP($C69,CTPit!$E$10:$BG$172,U$49,FALSE))</f>
        <v/>
      </c>
      <c r="V69" s="239" t="str">
        <f>IF($C69="","",VLOOKUP($C69,CTPit!$E$10:$BG$172,V$49,FALSE))</f>
        <v/>
      </c>
      <c r="W69" s="239" t="str">
        <f>IF($C69="","",VLOOKUP($C69,CTPit!$E$10:$BG$172,W$49,FALSE))</f>
        <v/>
      </c>
      <c r="X69" s="239" t="str">
        <f>IF($C69="","",VLOOKUP($C69,CTPit!$E$10:$BG$172,X$49,FALSE))</f>
        <v/>
      </c>
      <c r="Y69" s="240" t="str">
        <f>IF($C69="","",VLOOKUP($C69,CTPit!$E$10:$BG$172,Y$49,FALSE))</f>
        <v/>
      </c>
      <c r="Z69" s="53" t="str">
        <f>IF($C69="","",VLOOKUP($C69,CTPit!$E$10:$BG$172,Z$49,FALSE))</f>
        <v/>
      </c>
      <c r="AA69" s="239" t="str">
        <f>IF($C69="","",VLOOKUP($C69,CTPit!$E$10:$BG$172,AA$49,FALSE))</f>
        <v/>
      </c>
      <c r="AB69" s="80" t="str">
        <f>IF($C69="","",VLOOKUP($C69,CTPit!$E$10:$BG$172,AB$49,FALSE))</f>
        <v/>
      </c>
      <c r="AC69" s="67" t="str">
        <f>IF($C69="","",VLOOKUP($C69,CTPit!$E$10:$BG$172,AC$49,FALSE))</f>
        <v/>
      </c>
      <c r="AD69" s="275" t="str">
        <f>IF($C69="","",VLOOKUP($C69,CTPit!$E$10:$BG$172,AD$49,FALSE))</f>
        <v/>
      </c>
      <c r="AE69" s="275" t="str">
        <f>IF($C69="","",VLOOKUP($C69,CTPit!$E$10:$BG$172,AE$49,FALSE))</f>
        <v/>
      </c>
      <c r="AF69" s="276" t="str">
        <f>IF($C69="","",VLOOKUP($C69,CTPit!$E$10:$BG$172,AF$49,FALSE))</f>
        <v/>
      </c>
      <c r="AG69" s="67" t="str">
        <f>IF($C69="","",VLOOKUP($C69,CTPit!$E$10:$BG$172,AG$49,FALSE))</f>
        <v/>
      </c>
    </row>
    <row r="70" spans="1:33">
      <c r="A70">
        <v>8</v>
      </c>
      <c r="B70" s="36" t="s">
        <v>19</v>
      </c>
      <c r="C70" s="65"/>
      <c r="D70" s="37" t="str">
        <f>IF($C70="","",VLOOKUP($C70,CTPit!$E$10:$BG$214,D$4,FALSE))</f>
        <v/>
      </c>
      <c r="E70" s="37" t="str">
        <f>IF($C70="","",VLOOKUP($C70,CTPit!$E$10:$BG$214,E$4+1,FALSE))</f>
        <v/>
      </c>
      <c r="F70" s="53" t="str">
        <f t="shared" si="208"/>
        <v/>
      </c>
      <c r="G70" s="239" t="str">
        <f t="shared" si="209"/>
        <v/>
      </c>
      <c r="H70" s="240" t="str">
        <f t="shared" si="210"/>
        <v/>
      </c>
      <c r="I70" s="99" t="str">
        <f>IF($C70="","",VLOOKUP($C70,CTPit!$E$10:$BG$172,I$49,FALSE))</f>
        <v/>
      </c>
      <c r="J70" s="239" t="str">
        <f t="shared" si="212"/>
        <v/>
      </c>
      <c r="K70" s="53" t="str">
        <f>IF($C70="","",VLOOKUP($C70,CTPit!$E$10:$BG$172,K$49,FALSE))</f>
        <v/>
      </c>
      <c r="L70" s="239" t="str">
        <f>IF($C70="","",VLOOKUP($C70,CTPit!$E$10:$BG$172,L$49,FALSE))</f>
        <v/>
      </c>
      <c r="M70" s="240" t="str">
        <f>IF($C70="","",VLOOKUP($C70,CTPit!$E$10:$BG$172,M$49,FALSE))</f>
        <v/>
      </c>
      <c r="N70" s="239" t="str">
        <f>IF($C70="","",VLOOKUP($C70,CTPit!$E$10:$BG$172,N$49,FALSE))</f>
        <v/>
      </c>
      <c r="O70" s="239" t="str">
        <f>IF($C70="","",VLOOKUP($C70,CTPit!$E$10:$BG$172,O$49,FALSE))</f>
        <v/>
      </c>
      <c r="P70" s="239" t="str">
        <f>IF($C70="","",VLOOKUP($C70,CTPit!$E$10:$BG$172,P$49,FALSE))</f>
        <v/>
      </c>
      <c r="Q70" s="239" t="str">
        <f>IF($C70="","",VLOOKUP($C70,CTPit!$E$10:$BG$172,Q$49,FALSE))</f>
        <v/>
      </c>
      <c r="R70" s="239" t="str">
        <f>IF($C70="","",VLOOKUP($C70,CTPit!$E$10:$BG$172,R$49,FALSE))</f>
        <v/>
      </c>
      <c r="S70" s="239" t="str">
        <f>IF($C70="","",VLOOKUP($C70,CTPit!$E$10:$BG$172,S$49,FALSE))</f>
        <v/>
      </c>
      <c r="T70" s="239" t="str">
        <f>IF($C70="","",VLOOKUP($C70,CTPit!$E$10:$BG$172,T$49,FALSE))</f>
        <v/>
      </c>
      <c r="U70" s="239" t="str">
        <f>IF($C70="","",VLOOKUP($C70,CTPit!$E$10:$BG$172,U$49,FALSE))</f>
        <v/>
      </c>
      <c r="V70" s="239" t="str">
        <f>IF($C70="","",VLOOKUP($C70,CTPit!$E$10:$BG$172,V$49,FALSE))</f>
        <v/>
      </c>
      <c r="W70" s="239" t="str">
        <f>IF($C70="","",VLOOKUP($C70,CTPit!$E$10:$BG$172,W$49,FALSE))</f>
        <v/>
      </c>
      <c r="X70" s="239" t="str">
        <f>IF($C70="","",VLOOKUP($C70,CTPit!$E$10:$BG$172,X$49,FALSE))</f>
        <v/>
      </c>
      <c r="Y70" s="240" t="str">
        <f>IF($C70="","",VLOOKUP($C70,CTPit!$E$10:$BG$172,Y$49,FALSE))</f>
        <v/>
      </c>
      <c r="Z70" s="53" t="str">
        <f>IF($C70="","",VLOOKUP($C70,CTPit!$E$10:$BG$172,Z$49,FALSE))</f>
        <v/>
      </c>
      <c r="AA70" s="239" t="str">
        <f>IF($C70="","",VLOOKUP($C70,CTPit!$E$10:$BG$172,AA$49,FALSE))</f>
        <v/>
      </c>
      <c r="AB70" s="80" t="str">
        <f>IF($C70="","",VLOOKUP($C70,CTPit!$E$10:$BG$172,AB$49,FALSE))</f>
        <v/>
      </c>
      <c r="AC70" s="67" t="str">
        <f>IF($C70="","",VLOOKUP($C70,CTPit!$E$10:$BG$172,AC$49,FALSE))</f>
        <v/>
      </c>
      <c r="AD70" s="275" t="str">
        <f>IF($C70="","",VLOOKUP($C70,CTPit!$E$10:$BG$172,AD$49,FALSE))</f>
        <v/>
      </c>
      <c r="AE70" s="275" t="str">
        <f>IF($C70="","",VLOOKUP($C70,CTPit!$E$10:$BG$172,AE$49,FALSE))</f>
        <v/>
      </c>
      <c r="AF70" s="276" t="str">
        <f>IF($C70="","",VLOOKUP($C70,CTPit!$E$10:$BG$172,AF$49,FALSE))</f>
        <v/>
      </c>
      <c r="AG70" s="67" t="str">
        <f>IF($C70="","",VLOOKUP($C70,CTPit!$E$10:$BG$172,AG$49,FALSE))</f>
        <v/>
      </c>
    </row>
    <row r="71" spans="1:33">
      <c r="A71">
        <v>9</v>
      </c>
      <c r="B71" s="36" t="s">
        <v>19</v>
      </c>
      <c r="C71" s="65"/>
      <c r="D71" s="37" t="str">
        <f>IF($C71="","",VLOOKUP($C71,CTPit!$E$10:$BG$214,D$4,FALSE))</f>
        <v/>
      </c>
      <c r="E71" s="37" t="str">
        <f>IF($C71="","",VLOOKUP($C71,CTPit!$E$10:$BG$214,E$4+1,FALSE))</f>
        <v/>
      </c>
      <c r="F71" s="53" t="str">
        <f t="shared" si="208"/>
        <v/>
      </c>
      <c r="G71" s="239" t="str">
        <f t="shared" si="209"/>
        <v/>
      </c>
      <c r="H71" s="240" t="str">
        <f t="shared" si="210"/>
        <v/>
      </c>
      <c r="I71" s="99" t="str">
        <f>IF($C71="","",VLOOKUP($C71,CTPit!$E$10:$BG$172,I$49,FALSE))</f>
        <v/>
      </c>
      <c r="J71" s="239" t="str">
        <f t="shared" si="212"/>
        <v/>
      </c>
      <c r="K71" s="53" t="str">
        <f>IF($C71="","",VLOOKUP($C71,CTPit!$E$10:$BG$172,K$49,FALSE))</f>
        <v/>
      </c>
      <c r="L71" s="239" t="str">
        <f>IF($C71="","",VLOOKUP($C71,CTPit!$E$10:$BG$172,L$49,FALSE))</f>
        <v/>
      </c>
      <c r="M71" s="240" t="str">
        <f>IF($C71="","",VLOOKUP($C71,CTPit!$E$10:$BG$172,M$49,FALSE))</f>
        <v/>
      </c>
      <c r="N71" s="239" t="str">
        <f>IF($C71="","",VLOOKUP($C71,CTPit!$E$10:$BG$172,N$49,FALSE))</f>
        <v/>
      </c>
      <c r="O71" s="239" t="str">
        <f>IF($C71="","",VLOOKUP($C71,CTPit!$E$10:$BG$172,O$49,FALSE))</f>
        <v/>
      </c>
      <c r="P71" s="239" t="str">
        <f>IF($C71="","",VLOOKUP($C71,CTPit!$E$10:$BG$172,P$49,FALSE))</f>
        <v/>
      </c>
      <c r="Q71" s="239" t="str">
        <f>IF($C71="","",VLOOKUP($C71,CTPit!$E$10:$BG$172,Q$49,FALSE))</f>
        <v/>
      </c>
      <c r="R71" s="239" t="str">
        <f>IF($C71="","",VLOOKUP($C71,CTPit!$E$10:$BG$172,R$49,FALSE))</f>
        <v/>
      </c>
      <c r="S71" s="239" t="str">
        <f>IF($C71="","",VLOOKUP($C71,CTPit!$E$10:$BG$172,S$49,FALSE))</f>
        <v/>
      </c>
      <c r="T71" s="239" t="str">
        <f>IF($C71="","",VLOOKUP($C71,CTPit!$E$10:$BG$172,T$49,FALSE))</f>
        <v/>
      </c>
      <c r="U71" s="239" t="str">
        <f>IF($C71="","",VLOOKUP($C71,CTPit!$E$10:$BG$172,U$49,FALSE))</f>
        <v/>
      </c>
      <c r="V71" s="239" t="str">
        <f>IF($C71="","",VLOOKUP($C71,CTPit!$E$10:$BG$172,V$49,FALSE))</f>
        <v/>
      </c>
      <c r="W71" s="239" t="str">
        <f>IF($C71="","",VLOOKUP($C71,CTPit!$E$10:$BG$172,W$49,FALSE))</f>
        <v/>
      </c>
      <c r="X71" s="239" t="str">
        <f>IF($C71="","",VLOOKUP($C71,CTPit!$E$10:$BG$172,X$49,FALSE))</f>
        <v/>
      </c>
      <c r="Y71" s="240" t="str">
        <f>IF($C71="","",VLOOKUP($C71,CTPit!$E$10:$BG$172,Y$49,FALSE))</f>
        <v/>
      </c>
      <c r="Z71" s="53" t="str">
        <f>IF($C71="","",VLOOKUP($C71,CTPit!$E$10:$BG$172,Z$49,FALSE))</f>
        <v/>
      </c>
      <c r="AA71" s="239" t="str">
        <f>IF($C71="","",VLOOKUP($C71,CTPit!$E$10:$BG$172,AA$49,FALSE))</f>
        <v/>
      </c>
      <c r="AB71" s="80" t="str">
        <f>IF($C71="","",VLOOKUP($C71,CTPit!$E$10:$BG$172,AB$49,FALSE))</f>
        <v/>
      </c>
      <c r="AC71" s="67" t="str">
        <f>IF($C71="","",VLOOKUP($C71,CTPit!$E$10:$BG$172,AC$49,FALSE))</f>
        <v/>
      </c>
      <c r="AD71" s="275" t="str">
        <f>IF($C71="","",VLOOKUP($C71,CTPit!$E$10:$BG$172,AD$49,FALSE))</f>
        <v/>
      </c>
      <c r="AE71" s="275" t="str">
        <f>IF($C71="","",VLOOKUP($C71,CTPit!$E$10:$BG$172,AE$49,FALSE))</f>
        <v/>
      </c>
      <c r="AF71" s="276" t="str">
        <f>IF($C71="","",VLOOKUP($C71,CTPit!$E$10:$BG$172,AF$49,FALSE))</f>
        <v/>
      </c>
      <c r="AG71" s="67" t="str">
        <f>IF($C71="","",VLOOKUP($C71,CTPit!$E$10:$BG$172,AG$49,FALSE))</f>
        <v/>
      </c>
    </row>
    <row r="72" spans="1:33">
      <c r="A72">
        <v>10</v>
      </c>
      <c r="B72" s="39" t="s">
        <v>19</v>
      </c>
      <c r="C72" s="40"/>
      <c r="D72" s="40" t="str">
        <f>IF($C72="","",VLOOKUP($C72,CTPit!$E$10:$BG$214,D$4,FALSE))</f>
        <v/>
      </c>
      <c r="E72" s="40" t="str">
        <f>IF($C72="","",VLOOKUP($C72,CTPit!$E$10:$BG$214,E$4+1,FALSE))</f>
        <v/>
      </c>
      <c r="F72" s="54" t="str">
        <f t="shared" si="208"/>
        <v/>
      </c>
      <c r="G72" s="237" t="str">
        <f t="shared" si="209"/>
        <v/>
      </c>
      <c r="H72" s="238" t="str">
        <f t="shared" si="210"/>
        <v/>
      </c>
      <c r="I72" s="100" t="str">
        <f>IF($C72="","",VLOOKUP($C72,CTPit!$E$10:$BG$172,I$49,FALSE))</f>
        <v/>
      </c>
      <c r="J72" s="237" t="str">
        <f t="shared" si="211"/>
        <v/>
      </c>
      <c r="K72" s="54" t="str">
        <f>IF($C72="","",VLOOKUP($C72,CTPit!$E$10:$BG$172,K$49,FALSE))</f>
        <v/>
      </c>
      <c r="L72" s="237" t="str">
        <f>IF($C72="","",VLOOKUP($C72,CTPit!$E$10:$BG$172,L$49,FALSE))</f>
        <v/>
      </c>
      <c r="M72" s="238" t="str">
        <f>IF($C72="","",VLOOKUP($C72,CTPit!$E$10:$BG$172,M$49,FALSE))</f>
        <v/>
      </c>
      <c r="N72" s="237" t="str">
        <f>IF($C72="","",VLOOKUP($C72,CTPit!$E$10:$BG$172,N$49,FALSE))</f>
        <v/>
      </c>
      <c r="O72" s="237" t="str">
        <f>IF($C72="","",VLOOKUP($C72,CTPit!$E$10:$BG$172,O$49,FALSE))</f>
        <v/>
      </c>
      <c r="P72" s="237" t="str">
        <f>IF($C72="","",VLOOKUP($C72,CTPit!$E$10:$BG$172,P$49,FALSE))</f>
        <v/>
      </c>
      <c r="Q72" s="237" t="str">
        <f>IF($C72="","",VLOOKUP($C72,CTPit!$E$10:$BG$172,Q$49,FALSE))</f>
        <v/>
      </c>
      <c r="R72" s="237" t="str">
        <f>IF($C72="","",VLOOKUP($C72,CTPit!$E$10:$BG$172,R$49,FALSE))</f>
        <v/>
      </c>
      <c r="S72" s="237" t="str">
        <f>IF($C72="","",VLOOKUP($C72,CTPit!$E$10:$BG$172,S$49,FALSE))</f>
        <v/>
      </c>
      <c r="T72" s="237" t="str">
        <f>IF($C72="","",VLOOKUP($C72,CTPit!$E$10:$BG$172,T$49,FALSE))</f>
        <v/>
      </c>
      <c r="U72" s="237" t="str">
        <f>IF($C72="","",VLOOKUP($C72,CTPit!$E$10:$BG$172,U$49,FALSE))</f>
        <v/>
      </c>
      <c r="V72" s="237" t="str">
        <f>IF($C72="","",VLOOKUP($C72,CTPit!$E$10:$BG$172,V$49,FALSE))</f>
        <v/>
      </c>
      <c r="W72" s="237" t="str">
        <f>IF($C72="","",VLOOKUP($C72,CTPit!$E$10:$BG$172,W$49,FALSE))</f>
        <v/>
      </c>
      <c r="X72" s="237" t="str">
        <f>IF($C72="","",VLOOKUP($C72,CTPit!$E$10:$BG$172,X$49,FALSE))</f>
        <v/>
      </c>
      <c r="Y72" s="238" t="str">
        <f>IF($C72="","",VLOOKUP($C72,CTPit!$E$10:$BG$172,Y$49,FALSE))</f>
        <v/>
      </c>
      <c r="Z72" s="54" t="str">
        <f>IF($C72="","",VLOOKUP($C72,CTPit!$E$10:$BG$172,Z$49,FALSE))</f>
        <v/>
      </c>
      <c r="AA72" s="237" t="str">
        <f>IF($C72="","",VLOOKUP($C72,CTPit!$E$10:$BG$172,AA$49,FALSE))</f>
        <v/>
      </c>
      <c r="AB72" s="81" t="str">
        <f>IF($C72="","",VLOOKUP($C72,CTPit!$E$10:$BG$172,AB$49,FALSE))</f>
        <v/>
      </c>
      <c r="AC72" s="68" t="str">
        <f>IF($C72="","",VLOOKUP($C72,CTPit!$E$10:$BG$172,AC$49,FALSE))</f>
        <v/>
      </c>
      <c r="AD72" s="273" t="str">
        <f>IF($C72="","",VLOOKUP($C72,CTPit!$E$10:$BG$172,AD$49,FALSE))</f>
        <v/>
      </c>
      <c r="AE72" s="273" t="str">
        <f>IF($C72="","",VLOOKUP($C72,CTPit!$E$10:$BG$172,AE$49,FALSE))</f>
        <v/>
      </c>
      <c r="AF72" s="274" t="str">
        <f>IF($C72="","",VLOOKUP($C72,CTPit!$E$10:$BG$172,AF$49,FALSE))</f>
        <v/>
      </c>
      <c r="AG72" s="68" t="str">
        <f>IF($C72="","",VLOOKUP($C72,CTPit!$E$10:$BG$172,AG$49,FALSE))</f>
        <v/>
      </c>
    </row>
  </sheetData>
  <mergeCells count="6">
    <mergeCell ref="AH40:AT40"/>
    <mergeCell ref="AG35:AT35"/>
    <mergeCell ref="AH36:AT36"/>
    <mergeCell ref="AH37:AT37"/>
    <mergeCell ref="AH38:AT38"/>
    <mergeCell ref="AH39:AT39"/>
  </mergeCells>
  <conditionalFormatting sqref="G19">
    <cfRule type="expression" dxfId="23" priority="25">
      <formula>IF(SUM(G20:G27)&gt;1,1,0)</formula>
    </cfRule>
  </conditionalFormatting>
  <conditionalFormatting sqref="H19">
    <cfRule type="expression" dxfId="22" priority="24">
      <formula>IF(SUM(H20:H27)&gt;1,1,0)</formula>
    </cfRule>
  </conditionalFormatting>
  <conditionalFormatting sqref="F19">
    <cfRule type="expression" dxfId="21" priority="23">
      <formula>IF(SUM(F20:F27)&gt;1,1,0)</formula>
    </cfRule>
  </conditionalFormatting>
  <conditionalFormatting sqref="I5">
    <cfRule type="expression" dxfId="20" priority="22">
      <formula>-IF(SUM(I6:I17)&gt;1,1,0)</formula>
    </cfRule>
  </conditionalFormatting>
  <conditionalFormatting sqref="H5">
    <cfRule type="expression" dxfId="19" priority="21">
      <formula>-IF(SUM(H6:H17)&gt;1,1,0)</formula>
    </cfRule>
  </conditionalFormatting>
  <conditionalFormatting sqref="F29">
    <cfRule type="expression" dxfId="18" priority="20">
      <formula>IF(SUM($F$30:$F$33)&gt;1,1,0)</formula>
    </cfRule>
  </conditionalFormatting>
  <conditionalFormatting sqref="F50">
    <cfRule type="expression" dxfId="17" priority="19">
      <formula>IF(SUM($F$51:$F$56)&gt;1,1,0)</formula>
    </cfRule>
  </conditionalFormatting>
  <conditionalFormatting sqref="H50">
    <cfRule type="expression" dxfId="16" priority="18">
      <formula>IF(SUM($H$51:$H$56)&gt;3,1,0)</formula>
    </cfRule>
  </conditionalFormatting>
  <conditionalFormatting sqref="G50">
    <cfRule type="expression" dxfId="15" priority="17">
      <formula>IF(SUM($G$51:$G$56)&gt;2,1,0)</formula>
    </cfRule>
  </conditionalFormatting>
  <conditionalFormatting sqref="C30:C33 C20:C27 C6:C17">
    <cfRule type="expression" dxfId="14" priority="15">
      <formula>IF($AZ6&lt;4.5,1,0)</formula>
    </cfRule>
    <cfRule type="expression" dxfId="13" priority="16">
      <formula>IF($AZ6&gt;7,1,0)</formula>
    </cfRule>
  </conditionalFormatting>
  <conditionalFormatting sqref="C21">
    <cfRule type="expression" dxfId="12" priority="13">
      <formula>IF($AK21&lt;4.5,1,0)</formula>
    </cfRule>
    <cfRule type="expression" dxfId="11" priority="14">
      <formula>IF($AK21&gt;7,1,0)</formula>
    </cfRule>
  </conditionalFormatting>
  <conditionalFormatting sqref="F5">
    <cfRule type="expression" dxfId="10" priority="12">
      <formula>IF(SUM(F6:F17)&gt;1,1,0)</formula>
    </cfRule>
  </conditionalFormatting>
  <conditionalFormatting sqref="G5">
    <cfRule type="expression" dxfId="9" priority="11">
      <formula>IF(SUM(G6:G17)&gt;1,1,0)</formula>
    </cfRule>
  </conditionalFormatting>
  <conditionalFormatting sqref="C51:C56 C59:C60 C63:C72">
    <cfRule type="expression" dxfId="8" priority="7">
      <formula>IF($AC51&gt;$C$3,1,0)</formula>
    </cfRule>
    <cfRule type="expression" dxfId="7" priority="9">
      <formula>IF($AG51&lt;5.75,1,0)</formula>
    </cfRule>
    <cfRule type="expression" dxfId="6" priority="10">
      <formula>IF($AG51&gt;6,1,0)</formula>
    </cfRule>
    <cfRule type="expression" dxfId="5" priority="1">
      <formula>IF($AC51&lt;$D$2,1,0)</formula>
    </cfRule>
  </conditionalFormatting>
  <conditionalFormatting sqref="C6:C17 C20:C27 C30:C33">
    <cfRule type="expression" dxfId="4" priority="8">
      <formula>IF($AK6&gt;$C$2,1,0)</formula>
    </cfRule>
    <cfRule type="expression" dxfId="3" priority="4">
      <formula>IF($AK6&lt;$D$2,1,0)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published="0" codeName="Sheet11">
    <tabColor theme="9"/>
  </sheetPr>
  <dimension ref="A1:CT89"/>
  <sheetViews>
    <sheetView zoomScale="85" zoomScaleNormal="85" workbookViewId="0">
      <pane xSplit="14" ySplit="10" topLeftCell="BN44" activePane="bottomRight" state="frozenSplit"/>
      <selection pane="topRight" activeCell="H1" sqref="H1"/>
      <selection pane="bottomLeft"/>
      <selection pane="bottomRight" activeCell="BW63" sqref="BW63"/>
    </sheetView>
  </sheetViews>
  <sheetFormatPr defaultColWidth="11.42578125" defaultRowHeight="15"/>
  <cols>
    <col min="1" max="1" width="4.85546875" bestFit="1" customWidth="1"/>
    <col min="2" max="2" width="5.28515625" bestFit="1" customWidth="1"/>
    <col min="3" max="3" width="4.85546875" bestFit="1" customWidth="1"/>
    <col min="4" max="4" width="6.5703125" bestFit="1" customWidth="1"/>
    <col min="5" max="5" width="4.7109375" bestFit="1" customWidth="1"/>
    <col min="6" max="6" width="4.5703125" bestFit="1" customWidth="1"/>
    <col min="7" max="7" width="20" bestFit="1" customWidth="1"/>
    <col min="8" max="8" width="5" bestFit="1" customWidth="1"/>
    <col min="9" max="9" width="4.85546875" bestFit="1" customWidth="1"/>
    <col min="10" max="10" width="4.5703125" bestFit="1" customWidth="1"/>
    <col min="11" max="12" width="2.140625" bestFit="1" customWidth="1"/>
    <col min="13" max="13" width="6.5703125" bestFit="1" customWidth="1"/>
    <col min="14" max="14" width="6.5703125" style="3" bestFit="1" customWidth="1"/>
    <col min="15" max="15" width="4.140625" bestFit="1" customWidth="1"/>
    <col min="16" max="16" width="4.140625" style="3" bestFit="1" customWidth="1"/>
    <col min="17" max="17" width="5.140625" bestFit="1" customWidth="1"/>
    <col min="18" max="18" width="5" bestFit="1" customWidth="1"/>
    <col min="19" max="19" width="5.7109375" bestFit="1" customWidth="1"/>
    <col min="20" max="20" width="4.28515625" bestFit="1" customWidth="1"/>
    <col min="21" max="21" width="3.7109375" style="3" bestFit="1" customWidth="1"/>
    <col min="22" max="22" width="6.7109375" bestFit="1" customWidth="1"/>
    <col min="23" max="23" width="6.5703125" bestFit="1" customWidth="1"/>
    <col min="24" max="24" width="7.28515625" bestFit="1" customWidth="1"/>
    <col min="25" max="25" width="5.85546875" bestFit="1" customWidth="1"/>
    <col min="26" max="26" width="3.85546875" style="3" bestFit="1" customWidth="1"/>
    <col min="27" max="27" width="6.85546875" bestFit="1" customWidth="1"/>
    <col min="28" max="28" width="6.7109375" bestFit="1" customWidth="1"/>
    <col min="29" max="29" width="7.5703125" bestFit="1" customWidth="1"/>
    <col min="30" max="30" width="3" bestFit="1" customWidth="1"/>
    <col min="31" max="33" width="3.140625" bestFit="1" customWidth="1"/>
    <col min="34" max="34" width="3" bestFit="1" customWidth="1"/>
    <col min="35" max="35" width="3.140625" bestFit="1" customWidth="1"/>
    <col min="36" max="36" width="3.28515625" bestFit="1" customWidth="1"/>
    <col min="37" max="37" width="3.28515625" style="3" bestFit="1" customWidth="1"/>
    <col min="38" max="38" width="4.28515625" bestFit="1" customWidth="1"/>
    <col min="39" max="39" width="4.140625" bestFit="1" customWidth="1"/>
    <col min="40" max="40" width="5.140625" style="3" bestFit="1" customWidth="1"/>
    <col min="41" max="41" width="12.5703125" bestFit="1" customWidth="1"/>
    <col min="42" max="42" width="9.42578125" style="3" bestFit="1" customWidth="1"/>
    <col min="43" max="43" width="9.28515625" bestFit="1" customWidth="1"/>
    <col min="44" max="44" width="9" style="5" bestFit="1" customWidth="1"/>
    <col min="45" max="45" width="8.85546875" bestFit="1" customWidth="1"/>
    <col min="46" max="46" width="9" bestFit="1" customWidth="1"/>
    <col min="47" max="47" width="4.7109375" bestFit="1" customWidth="1"/>
    <col min="48" max="48" width="9" bestFit="1" customWidth="1"/>
    <col min="49" max="49" width="4.140625" style="53" bestFit="1" customWidth="1"/>
    <col min="50" max="56" width="4.140625" style="5" bestFit="1" customWidth="1"/>
    <col min="57" max="57" width="4.140625" style="3" bestFit="1" customWidth="1"/>
    <col min="58" max="58" width="3.85546875" style="53" bestFit="1" customWidth="1"/>
    <col min="59" max="65" width="3.85546875" style="5" bestFit="1" customWidth="1"/>
    <col min="66" max="66" width="3.85546875" style="3" bestFit="1" customWidth="1"/>
    <col min="67" max="67" width="3.42578125" bestFit="1" customWidth="1"/>
    <col min="68" max="68" width="4.28515625" bestFit="1" customWidth="1"/>
    <col min="70" max="70" width="5" style="91" bestFit="1" customWidth="1"/>
    <col min="71" max="71" width="4.85546875" style="91" bestFit="1" customWidth="1"/>
    <col min="72" max="72" width="5.5703125" style="91" bestFit="1" customWidth="1"/>
    <col min="73" max="73" width="4.140625" style="91" bestFit="1" customWidth="1"/>
    <col min="74" max="74" width="3.7109375" style="91" bestFit="1" customWidth="1"/>
    <col min="75" max="75" width="6.5703125" style="91" bestFit="1" customWidth="1"/>
    <col min="76" max="76" width="6.42578125" style="91" bestFit="1" customWidth="1"/>
    <col min="77" max="77" width="7.140625" style="91" bestFit="1" customWidth="1"/>
    <col min="78" max="78" width="5.7109375" style="91" bestFit="1" customWidth="1"/>
    <col min="79" max="79" width="3.85546875" style="91" bestFit="1" customWidth="1"/>
    <col min="80" max="80" width="7.28515625" style="91" bestFit="1" customWidth="1"/>
    <col min="81" max="81" width="7.5703125" style="91" bestFit="1" customWidth="1"/>
    <col min="82" max="82" width="6.28515625" style="91" bestFit="1" customWidth="1"/>
    <col min="83" max="83" width="3.140625" style="91" bestFit="1" customWidth="1"/>
    <col min="84" max="86" width="3.28515625" style="91" bestFit="1" customWidth="1"/>
    <col min="87" max="89" width="3.140625" style="91" bestFit="1" customWidth="1"/>
    <col min="90" max="90" width="3.28515625" style="91" bestFit="1" customWidth="1"/>
    <col min="91" max="92" width="4.140625" style="91" bestFit="1" customWidth="1"/>
    <col min="93" max="93" width="5" style="91" bestFit="1" customWidth="1"/>
    <col min="94" max="95" width="4" style="91" bestFit="1" customWidth="1"/>
    <col min="96" max="96" width="8.42578125" style="91" bestFit="1" customWidth="1"/>
    <col min="97" max="97" width="4.42578125" style="91" bestFit="1" customWidth="1"/>
    <col min="98" max="98" width="8.42578125" style="91" bestFit="1" customWidth="1"/>
    <col min="99" max="16384" width="11.42578125" style="91"/>
  </cols>
  <sheetData>
    <row r="1" spans="1:98">
      <c r="B1" t="s">
        <v>101</v>
      </c>
      <c r="C1" t="s">
        <v>146</v>
      </c>
      <c r="E1" t="s">
        <v>217</v>
      </c>
      <c r="F1" t="s">
        <v>218</v>
      </c>
      <c r="G1" t="s">
        <v>219</v>
      </c>
    </row>
    <row r="2" spans="1:98">
      <c r="A2" t="s">
        <v>207</v>
      </c>
      <c r="B2">
        <f>COUNTIF($A$11:$A$187,"=ML")</f>
        <v>0</v>
      </c>
      <c r="C2" s="91">
        <f>VLOOKUP($A2,CTPit!$A$2:$B$8,2,FALSE)</f>
        <v>12</v>
      </c>
      <c r="D2">
        <v>25</v>
      </c>
      <c r="E2" s="97">
        <f>B2/$D2</f>
        <v>0</v>
      </c>
      <c r="F2" s="97">
        <f>C2/$D2</f>
        <v>0.48</v>
      </c>
      <c r="G2" s="106">
        <f>(B2+C2)/$D2</f>
        <v>0.48</v>
      </c>
      <c r="H2" s="106"/>
      <c r="I2" s="106"/>
    </row>
    <row r="3" spans="1:98">
      <c r="A3" t="s">
        <v>208</v>
      </c>
      <c r="B3">
        <f>COUNTIF($A$11:$A$187,"=AAA")</f>
        <v>0</v>
      </c>
      <c r="C3" s="91">
        <f>VLOOKUP($A3,CTPit!$A$2:$B$8,2,FALSE)</f>
        <v>4</v>
      </c>
      <c r="D3">
        <v>25</v>
      </c>
      <c r="E3" s="97">
        <f t="shared" ref="E3:F8" si="0">B3/$D3</f>
        <v>0</v>
      </c>
      <c r="F3" s="97">
        <f t="shared" si="0"/>
        <v>0.16</v>
      </c>
      <c r="G3" s="106">
        <f t="shared" ref="G3:G8" si="1">(B3+C3)/$D3</f>
        <v>0.16</v>
      </c>
      <c r="H3" s="106"/>
      <c r="I3" s="106"/>
    </row>
    <row r="4" spans="1:98">
      <c r="A4" t="s">
        <v>209</v>
      </c>
      <c r="B4">
        <f>COUNTIF($A$11:$A$187,"=AA")</f>
        <v>0</v>
      </c>
      <c r="C4" s="91">
        <f>VLOOKUP($A4,CTPit!$A$2:$B$8,2,FALSE)</f>
        <v>5</v>
      </c>
      <c r="D4">
        <v>25</v>
      </c>
      <c r="E4" s="97">
        <f t="shared" si="0"/>
        <v>0</v>
      </c>
      <c r="F4" s="97">
        <f t="shared" si="0"/>
        <v>0.2</v>
      </c>
      <c r="G4" s="106">
        <f t="shared" si="1"/>
        <v>0.2</v>
      </c>
      <c r="H4" s="106"/>
      <c r="I4" s="106"/>
    </row>
    <row r="5" spans="1:98">
      <c r="A5" t="s">
        <v>210</v>
      </c>
      <c r="B5">
        <f>COUNTIF($A$11:$A$187,"=A")</f>
        <v>0</v>
      </c>
      <c r="C5" s="91">
        <f>VLOOKUP($A5,CTPit!$A$2:$B$8,2,FALSE)</f>
        <v>2</v>
      </c>
      <c r="D5">
        <v>25</v>
      </c>
      <c r="E5" s="97">
        <f t="shared" si="0"/>
        <v>0</v>
      </c>
      <c r="F5" s="97">
        <f t="shared" si="0"/>
        <v>0.08</v>
      </c>
      <c r="G5" s="106">
        <f t="shared" si="1"/>
        <v>0.08</v>
      </c>
      <c r="H5" s="106"/>
      <c r="I5" s="106"/>
    </row>
    <row r="6" spans="1:98">
      <c r="A6" t="s">
        <v>320</v>
      </c>
      <c r="B6">
        <f>COUNTIF($A$11:$A$187,"=A S")</f>
        <v>0</v>
      </c>
      <c r="C6" s="91" t="e">
        <f>VLOOKUP($A6,CTPit!$A$2:$B$8,2,FALSE)</f>
        <v>#N/A</v>
      </c>
      <c r="D6">
        <v>35</v>
      </c>
      <c r="E6" s="97">
        <f t="shared" si="0"/>
        <v>0</v>
      </c>
      <c r="F6" s="97" t="e">
        <f t="shared" si="0"/>
        <v>#N/A</v>
      </c>
      <c r="G6" s="106" t="e">
        <f t="shared" si="1"/>
        <v>#N/A</v>
      </c>
      <c r="H6" s="106"/>
      <c r="I6" s="106"/>
    </row>
    <row r="7" spans="1:98">
      <c r="A7" t="s">
        <v>215</v>
      </c>
      <c r="B7">
        <f>COUNTBLANK($A$11:$A$187)-COUNTBLANK($G$11:$G$187)</f>
        <v>55</v>
      </c>
      <c r="C7" s="91">
        <f>VLOOKUP($A7,CTPit!$A$2:$B$8,2,FALSE)</f>
        <v>36</v>
      </c>
      <c r="E7" s="97"/>
      <c r="F7" s="97"/>
      <c r="G7" s="106"/>
      <c r="H7" s="106"/>
      <c r="I7" s="106"/>
    </row>
    <row r="8" spans="1:98">
      <c r="A8" t="s">
        <v>216</v>
      </c>
      <c r="B8">
        <f>SUM(B2:B7)</f>
        <v>55</v>
      </c>
      <c r="C8" t="e">
        <f>SUM(C2:C7)</f>
        <v>#N/A</v>
      </c>
      <c r="D8">
        <f>SUM(D2:D7)</f>
        <v>135</v>
      </c>
      <c r="E8" s="97">
        <f t="shared" si="0"/>
        <v>0.40740740740740738</v>
      </c>
      <c r="F8" s="97" t="e">
        <f t="shared" si="0"/>
        <v>#N/A</v>
      </c>
      <c r="G8" s="106" t="e">
        <f t="shared" si="1"/>
        <v>#N/A</v>
      </c>
      <c r="H8" s="106"/>
      <c r="I8" s="106"/>
    </row>
    <row r="9" spans="1:98">
      <c r="BR9" s="91">
        <v>11</v>
      </c>
      <c r="BS9" s="91">
        <v>12</v>
      </c>
      <c r="BT9" s="91">
        <v>13</v>
      </c>
      <c r="BU9" s="91">
        <v>14</v>
      </c>
      <c r="BV9" s="91">
        <v>15</v>
      </c>
      <c r="BW9" s="91">
        <v>16</v>
      </c>
      <c r="BX9" s="91">
        <v>17</v>
      </c>
      <c r="BY9" s="91">
        <v>18</v>
      </c>
      <c r="BZ9" s="91">
        <v>19</v>
      </c>
      <c r="CA9" s="91">
        <v>20</v>
      </c>
      <c r="CB9" s="91">
        <v>21</v>
      </c>
      <c r="CC9" s="91">
        <v>22</v>
      </c>
      <c r="CD9" s="91">
        <v>23</v>
      </c>
      <c r="CE9" s="91">
        <v>24</v>
      </c>
      <c r="CF9" s="91">
        <v>25</v>
      </c>
      <c r="CG9" s="91">
        <v>26</v>
      </c>
      <c r="CH9" s="91">
        <v>27</v>
      </c>
      <c r="CI9" s="91">
        <v>28</v>
      </c>
      <c r="CJ9" s="91">
        <v>29</v>
      </c>
      <c r="CK9" s="91">
        <v>30</v>
      </c>
      <c r="CL9" s="91">
        <v>31</v>
      </c>
      <c r="CM9" s="91">
        <v>32</v>
      </c>
      <c r="CN9" s="91">
        <v>33</v>
      </c>
      <c r="CO9" s="91">
        <v>34</v>
      </c>
    </row>
    <row r="10" spans="1:98" s="104" customFormat="1">
      <c r="A10" s="4" t="s">
        <v>206</v>
      </c>
      <c r="B10" s="4" t="s">
        <v>119</v>
      </c>
      <c r="C10" s="4" t="s">
        <v>179</v>
      </c>
      <c r="D10" s="4" t="s">
        <v>180</v>
      </c>
      <c r="E10" s="4" t="s">
        <v>114</v>
      </c>
      <c r="F10" s="4" t="s">
        <v>111</v>
      </c>
      <c r="G10" s="4" t="s">
        <v>20</v>
      </c>
      <c r="H10" s="4" t="s">
        <v>374</v>
      </c>
      <c r="I10" s="4" t="s">
        <v>313</v>
      </c>
      <c r="J10" s="4" t="s">
        <v>91</v>
      </c>
      <c r="K10" s="4" t="s">
        <v>101</v>
      </c>
      <c r="L10" s="4" t="s">
        <v>102</v>
      </c>
      <c r="M10" s="4" t="s">
        <v>21</v>
      </c>
      <c r="N10" s="2" t="s">
        <v>22</v>
      </c>
      <c r="O10" s="4" t="s">
        <v>23</v>
      </c>
      <c r="P10" s="2" t="s">
        <v>24</v>
      </c>
      <c r="Q10" s="4" t="s">
        <v>25</v>
      </c>
      <c r="R10" s="4" t="s">
        <v>26</v>
      </c>
      <c r="S10" s="4" t="s">
        <v>27</v>
      </c>
      <c r="T10" s="4" t="s">
        <v>28</v>
      </c>
      <c r="U10" s="2" t="s">
        <v>29</v>
      </c>
      <c r="V10" s="4" t="s">
        <v>30</v>
      </c>
      <c r="W10" s="4" t="s">
        <v>31</v>
      </c>
      <c r="X10" s="4" t="s">
        <v>32</v>
      </c>
      <c r="Y10" s="4" t="s">
        <v>33</v>
      </c>
      <c r="Z10" s="2" t="s">
        <v>34</v>
      </c>
      <c r="AA10" s="4" t="s">
        <v>201</v>
      </c>
      <c r="AB10" s="4" t="s">
        <v>135</v>
      </c>
      <c r="AC10" s="4" t="s">
        <v>136</v>
      </c>
      <c r="AD10" s="4" t="s">
        <v>92</v>
      </c>
      <c r="AE10" s="4" t="s">
        <v>94</v>
      </c>
      <c r="AF10" s="4" t="s">
        <v>95</v>
      </c>
      <c r="AG10" s="4" t="s">
        <v>96</v>
      </c>
      <c r="AH10" s="4" t="s">
        <v>97</v>
      </c>
      <c r="AI10" s="4" t="s">
        <v>98</v>
      </c>
      <c r="AJ10" s="4" t="s">
        <v>99</v>
      </c>
      <c r="AK10" s="2" t="s">
        <v>100</v>
      </c>
      <c r="AL10" s="4" t="s">
        <v>35</v>
      </c>
      <c r="AM10" s="4" t="s">
        <v>36</v>
      </c>
      <c r="AN10" s="2" t="s">
        <v>37</v>
      </c>
      <c r="AO10" s="4" t="s">
        <v>38</v>
      </c>
      <c r="AP10" s="2" t="s">
        <v>39</v>
      </c>
      <c r="AQ10" s="4" t="s">
        <v>116</v>
      </c>
      <c r="AR10" s="4" t="s">
        <v>87</v>
      </c>
      <c r="AS10" s="4" t="s">
        <v>117</v>
      </c>
      <c r="AT10" s="4" t="s">
        <v>88</v>
      </c>
      <c r="AU10" s="4" t="s">
        <v>86</v>
      </c>
      <c r="AV10" s="4" t="s">
        <v>89</v>
      </c>
      <c r="AW10" s="36" t="s">
        <v>161</v>
      </c>
      <c r="AX10" s="4" t="s">
        <v>162</v>
      </c>
      <c r="AY10" s="4" t="s">
        <v>163</v>
      </c>
      <c r="AZ10" s="4" t="s">
        <v>164</v>
      </c>
      <c r="BA10" s="4" t="s">
        <v>165</v>
      </c>
      <c r="BB10" s="4" t="s">
        <v>166</v>
      </c>
      <c r="BC10" s="4" t="s">
        <v>167</v>
      </c>
      <c r="BD10" s="4" t="s">
        <v>168</v>
      </c>
      <c r="BE10" s="2" t="s">
        <v>169</v>
      </c>
      <c r="BF10" s="36" t="s">
        <v>170</v>
      </c>
      <c r="BG10" s="4" t="s">
        <v>171</v>
      </c>
      <c r="BH10" s="4" t="s">
        <v>172</v>
      </c>
      <c r="BI10" s="4" t="s">
        <v>173</v>
      </c>
      <c r="BJ10" s="4" t="s">
        <v>174</v>
      </c>
      <c r="BK10" s="4" t="s">
        <v>175</v>
      </c>
      <c r="BL10" s="4" t="s">
        <v>176</v>
      </c>
      <c r="BM10" s="4" t="s">
        <v>177</v>
      </c>
      <c r="BN10" s="2" t="s">
        <v>178</v>
      </c>
      <c r="BO10" s="2" t="s">
        <v>105</v>
      </c>
      <c r="BP10" s="4" t="s">
        <v>110</v>
      </c>
      <c r="BQ10" s="4" t="s">
        <v>115</v>
      </c>
      <c r="BR10" s="104" t="str">
        <f>Q10</f>
        <v>CON</v>
      </c>
      <c r="BS10" s="104" t="str">
        <f>R10</f>
        <v>GAP</v>
      </c>
      <c r="BT10" s="104" t="str">
        <f t="shared" ref="BT10:CE10" si="2">S10</f>
        <v>POW</v>
      </c>
      <c r="BU10" s="104" t="str">
        <f t="shared" si="2"/>
        <v>EYE</v>
      </c>
      <c r="BV10" s="104" t="str">
        <f t="shared" si="2"/>
        <v>K's</v>
      </c>
      <c r="BW10" s="104" t="str">
        <f t="shared" si="2"/>
        <v>CON P</v>
      </c>
      <c r="BX10" s="104" t="str">
        <f t="shared" si="2"/>
        <v>GAP P</v>
      </c>
      <c r="BY10" s="104" t="str">
        <f t="shared" si="2"/>
        <v>POW P</v>
      </c>
      <c r="BZ10" s="104" t="str">
        <f t="shared" si="2"/>
        <v>EYE P</v>
      </c>
      <c r="CA10" s="104" t="str">
        <f t="shared" si="2"/>
        <v>K P</v>
      </c>
      <c r="CB10" s="104" t="str">
        <f t="shared" si="2"/>
        <v>IF ARM</v>
      </c>
      <c r="CC10" s="104" t="str">
        <f t="shared" si="2"/>
        <v>OF Arm</v>
      </c>
      <c r="CD10" s="104" t="str">
        <f t="shared" si="2"/>
        <v>C Arm</v>
      </c>
      <c r="CE10" s="104" t="str">
        <f t="shared" si="2"/>
        <v>C</v>
      </c>
      <c r="CF10" s="104" t="str">
        <f t="shared" ref="CF10" si="3">AE10</f>
        <v>1B</v>
      </c>
      <c r="CG10" s="104" t="str">
        <f t="shared" ref="CG10" si="4">AF10</f>
        <v>2B</v>
      </c>
      <c r="CH10" s="104" t="str">
        <f t="shared" ref="CH10" si="5">AG10</f>
        <v>3B</v>
      </c>
      <c r="CI10" s="104" t="str">
        <f t="shared" ref="CI10" si="6">AH10</f>
        <v>SS</v>
      </c>
      <c r="CJ10" s="104" t="str">
        <f t="shared" ref="CJ10" si="7">AI10</f>
        <v>LF</v>
      </c>
      <c r="CK10" s="104" t="str">
        <f t="shared" ref="CK10" si="8">AJ10</f>
        <v>CF</v>
      </c>
      <c r="CL10" s="104" t="str">
        <f t="shared" ref="CL10" si="9">AK10</f>
        <v>RF</v>
      </c>
      <c r="CM10" s="104" t="str">
        <f t="shared" ref="CM10" si="10">AL10</f>
        <v>SPE</v>
      </c>
      <c r="CN10" s="104" t="str">
        <f t="shared" ref="CN10" si="11">AM10</f>
        <v>STE</v>
      </c>
      <c r="CO10" s="104" t="str">
        <f t="shared" ref="CO10" si="12">AN10</f>
        <v>RUN</v>
      </c>
      <c r="CP10" s="104" t="s">
        <v>228</v>
      </c>
      <c r="CQ10" s="104" t="s">
        <v>229</v>
      </c>
      <c r="CR10" s="104" t="s">
        <v>110</v>
      </c>
      <c r="CS10" s="104" t="s">
        <v>230</v>
      </c>
      <c r="CT10" s="104" t="s">
        <v>216</v>
      </c>
    </row>
    <row r="11" spans="1:98">
      <c r="C11" t="str">
        <f t="shared" ref="C11:C42" si="13">IF(BH11=1,3,IF(BI11=1,4,IF(BF11=1,1,IF(BJ11=1,5,IF(BG11=1,2,IF(BK11=1,6,IF(BL11=1,7,IF(BM11=1,8,IF(BN11=1,9,"-")))))))))</f>
        <v>-</v>
      </c>
      <c r="D11" t="str">
        <f t="shared" ref="D11:D42" si="14">IF(AY11=1,3,IF(AZ11=1,4,IF(AW11=1,1,IF(BA11=1,5,IF(AX11=1,2,IF(BB11=1,6,IF(BC11=1,7,IF(BD11=1,8,IF(BE11=1,9,"-")))))))))</f>
        <v>-</v>
      </c>
      <c r="E11" t="str">
        <f t="shared" ref="E11:E42" si="15">IF(OR(O11&gt;7,AND(O11&gt;4,P11&gt;5)),"K","T")</f>
        <v>K</v>
      </c>
      <c r="F11" t="s">
        <v>92</v>
      </c>
      <c r="G11" t="s">
        <v>52</v>
      </c>
      <c r="H11" t="s">
        <v>373</v>
      </c>
      <c r="I11" t="s">
        <v>210</v>
      </c>
      <c r="J11">
        <v>28</v>
      </c>
      <c r="K11" t="s">
        <v>104</v>
      </c>
      <c r="L11" t="s">
        <v>104</v>
      </c>
      <c r="M11" t="s">
        <v>47</v>
      </c>
      <c r="N11" s="269" t="s">
        <v>47</v>
      </c>
      <c r="O11" t="s">
        <v>223</v>
      </c>
      <c r="P11" s="269" t="s">
        <v>223</v>
      </c>
      <c r="Q11">
        <v>5</v>
      </c>
      <c r="R11">
        <v>5</v>
      </c>
      <c r="S11">
        <v>5</v>
      </c>
      <c r="T11">
        <v>5</v>
      </c>
      <c r="U11" s="269">
        <v>6</v>
      </c>
      <c r="V11">
        <v>5</v>
      </c>
      <c r="W11">
        <v>5</v>
      </c>
      <c r="X11">
        <v>5</v>
      </c>
      <c r="Y11">
        <v>5</v>
      </c>
      <c r="Z11" s="269">
        <v>6</v>
      </c>
      <c r="AA11">
        <v>4</v>
      </c>
      <c r="AB11">
        <v>5</v>
      </c>
      <c r="AC11">
        <v>6</v>
      </c>
      <c r="AD11">
        <v>7</v>
      </c>
      <c r="AE11">
        <v>1</v>
      </c>
      <c r="AF11" t="s">
        <v>41</v>
      </c>
      <c r="AG11" t="s">
        <v>41</v>
      </c>
      <c r="AH11" t="s">
        <v>41</v>
      </c>
      <c r="AI11">
        <v>1</v>
      </c>
      <c r="AJ11" t="s">
        <v>41</v>
      </c>
      <c r="AK11" s="269" t="s">
        <v>41</v>
      </c>
      <c r="AL11">
        <v>1</v>
      </c>
      <c r="AM11">
        <v>1</v>
      </c>
      <c r="AN11" s="269">
        <v>1</v>
      </c>
      <c r="AO11">
        <v>490000</v>
      </c>
      <c r="AP11" s="269" t="s">
        <v>45</v>
      </c>
      <c r="AQ11" s="6">
        <f t="shared" ref="AQ11:AQ42" si="16">AVERAGE(Q11,S11,T11)+IF(OR(Q11&gt;7,AND(Q11&gt;5,T11&gt;5)),0.5,0)+IF(S11&gt;7,0.25,0)+IF(Q11&lt;6,-0.5*(6-Q11),0)</f>
        <v>4.5</v>
      </c>
      <c r="AR11" s="9" t="str">
        <f t="shared" ref="AR11:AR42" si="17">IF(AQ11&gt;9,"SuperStar",IF(AQ11&gt;8,"Star",IF(AQ11&gt;6.5,"GoodReg",IF(AQ11&gt;5,"Reg",IF(AQ11&gt;4,"Bench","Minors")))))</f>
        <v>Bench</v>
      </c>
      <c r="AS11" s="6">
        <f t="shared" ref="AS11:AS42" si="18">AVERAGE(V11,X11,Y11)+IF(OR(V11&gt;7,AND(V11&gt;5,Y11&gt;5)),0.5,0)+IF(X11&gt;7,0.25,0)+IF(V11&lt;6,-0.5*(6-V11),0)</f>
        <v>4.5</v>
      </c>
      <c r="AT11" s="6" t="str">
        <f t="shared" ref="AT11:AT42" si="19">IF(AS11&gt;9,"SuperStar",IF(AS11&gt;8,"Star",IF(AS11&gt;6.5,"GoodReg",IF(AS11&gt;5,"Reg",IF(AS11&gt;4,"Bench","Minors")))))</f>
        <v>Bench</v>
      </c>
      <c r="AU11" s="9">
        <f t="shared" ref="AU11:AU42" si="20">MIN(AQ11+(MAX(0,25-J11))^1.5,AS11)</f>
        <v>4.5</v>
      </c>
      <c r="AV11" s="9" t="str">
        <f t="shared" ref="AV11:AV42" si="21">IF(AU11&gt;9,"SuperStar",IF(AU11&gt;8,"Star",IF(AU11&gt;6.5,"GoodReg",IF(AU11&gt;5,"Reg",IF(AU11&gt;4,"Bench","Minors")))))</f>
        <v>Bench</v>
      </c>
      <c r="AW11" s="53">
        <f t="shared" ref="AW11:AW42" si="22">IF(AND(OR(Q11+T11&gt;12,AND(Q11&gt;6,T11&gt;6)),AL11&gt;6,OR(AM11&gt;=AL11,AM11&gt;6)),1,0)</f>
        <v>0</v>
      </c>
      <c r="AX11" s="268">
        <f t="shared" ref="AX11:AX42" si="23">IF(OR(AND(Q11&gt;6,U11&gt;6),Q11+T11&gt;12),1,0)</f>
        <v>0</v>
      </c>
      <c r="AY11" s="268">
        <f t="shared" ref="AY11:AY42" si="24">IF(AND(Q11&gt;6,S11&gt;6,T11&gt;6),1,0)</f>
        <v>0</v>
      </c>
      <c r="AZ11" s="268">
        <f t="shared" ref="AZ11:AZ42" si="25">IF(AND(S11&gt;7,OR(Q11&gt;6,T11&gt;6)),1,0)</f>
        <v>0</v>
      </c>
      <c r="BA11" s="268">
        <f t="shared" ref="BA11:BA42" si="26">IF(AND(S11&gt;6,OR(Q11&gt;6,T11&gt;6)),1,0)</f>
        <v>0</v>
      </c>
      <c r="BB11" s="268">
        <f t="shared" ref="BB11:BB42" si="27">IF(AND(OR(Q11&gt;6,S11&gt;6),OR(Q11&gt;6,T11&gt;6)),1,0)</f>
        <v>0</v>
      </c>
      <c r="BC11" s="268">
        <f t="shared" ref="BC11:BC42" si="28">IF(AND(Q11&gt;4,OR(Q11&gt;6,S11&gt;6,T11&gt;6)),1,0)</f>
        <v>0</v>
      </c>
      <c r="BD11" s="268">
        <f t="shared" ref="BD11:BD42" si="29">IF(AND(Q11&gt;4,OR(Q11&gt;6,R11&gt;6,S11&gt;6,T11&gt;6)),1,0)</f>
        <v>0</v>
      </c>
      <c r="BE11" s="269">
        <f t="shared" ref="BE11:BE42" si="30">IF(AND(Q11&gt;4,MAX(Q11:U11)&gt;6),1,0)</f>
        <v>0</v>
      </c>
      <c r="BF11" s="53">
        <f t="shared" ref="BF11:BF42" si="31">IF(AND(OR(V11+Y11&gt;12,AND(V11&gt;6,Y11&gt;6)),AL11&gt;6,OR(AM11&gt;=AL11,AM11&gt;6)),1,0)</f>
        <v>0</v>
      </c>
      <c r="BG11" s="268">
        <f t="shared" ref="BG11:BG42" si="32">IF(OR(AND(V11&gt;6,Z11&gt;6),V11+Y11&gt;12),1,0)</f>
        <v>0</v>
      </c>
      <c r="BH11" s="268">
        <f t="shared" ref="BH11:BH42" si="33">IF(AND(V11&gt;6,X11&gt;6,Y11&gt;6),1,0)</f>
        <v>0</v>
      </c>
      <c r="BI11" s="268">
        <f t="shared" ref="BI11:BI42" si="34">IF(AND(X11&gt;7,OR(V11&gt;6,Y11&gt;6)),1,0)</f>
        <v>0</v>
      </c>
      <c r="BJ11" s="268">
        <f t="shared" ref="BJ11:BJ42" si="35">IF(AND(X11&gt;6,OR(V11&gt;6,Y11&gt;6)),1,0)</f>
        <v>0</v>
      </c>
      <c r="BK11" s="268">
        <f t="shared" ref="BK11:BK42" si="36">IF(AND(OR(V11&gt;6,X11&gt;6),OR(V11&gt;6,Y11&gt;6)),1,0)</f>
        <v>0</v>
      </c>
      <c r="BL11" s="268">
        <f t="shared" ref="BL11:BL42" si="37">IF(AND(V11&gt;4,OR(V11&gt;6,X11&gt;6,Y11&gt;6)),1,0)</f>
        <v>0</v>
      </c>
      <c r="BM11" s="268">
        <f t="shared" ref="BM11:BM42" si="38">IF(AND(V11&gt;4,OR(V11&gt;6,W11&gt;6,X11&gt;6,Y11&gt;6)),1,0)</f>
        <v>0</v>
      </c>
      <c r="BN11" s="269">
        <f t="shared" ref="BN11:BN42" si="39">IF(AND(V11&gt;4,MAX(V11:Z11)&gt;6),1,0)</f>
        <v>0</v>
      </c>
      <c r="BO11" s="269">
        <f t="shared" ref="BO11:BO42" si="40">IF(AVERAGE(AL11:AM11)&gt;9,1,0)+IF(AVERAGE(AL11:AM11)&gt;7,1,0)+IF(AL11&gt;7,1,0)+IF(AM11&gt;7,1,0)+IF(AN11&gt;8,1,0)+IF(AN11&gt;6,1,0)</f>
        <v>0</v>
      </c>
      <c r="BP11" s="7">
        <f t="shared" ref="BP11:BP42" si="41">IF(OR(MAX(AD11,AE11,AI11,AK11)&gt;6,MAX(AF11,AG11,AH11,AJ11)&gt;7),2,IF(MAX(AD11:AK11)&gt;4,1,0))</f>
        <v>2</v>
      </c>
      <c r="BQ11" t="str">
        <f t="shared" ref="BQ11:BQ42" si="42">IF(AP11=1,"Yes","")</f>
        <v/>
      </c>
      <c r="BR11" s="91">
        <f>IF(Q11="-","-",VLOOKUP($G11,CTBat!$G$10:$AN$184,BR$9,FALSE)-Q11)</f>
        <v>0</v>
      </c>
      <c r="BS11" s="91">
        <f>IF(R11="-","-",VLOOKUP($G11,CTBat!$G$10:$AN$184,BS$9,FALSE)-R11)</f>
        <v>1</v>
      </c>
      <c r="BT11" s="91">
        <f>IF(S11="-","-",VLOOKUP($G11,CTBat!$G$10:$AN$184,BT$9,FALSE)-S11)</f>
        <v>0</v>
      </c>
      <c r="BU11" s="91">
        <f>IF(T11="-","-",VLOOKUP($G11,CTBat!$G$10:$AN$184,BU$9,FALSE)-T11)</f>
        <v>0</v>
      </c>
      <c r="BV11" s="91">
        <f>IF(U11="-","-",VLOOKUP($G11,CTBat!$G$10:$AN$184,BV$9,FALSE)-U11)</f>
        <v>0</v>
      </c>
      <c r="BW11" s="91">
        <f>IF(V11="-","-",VLOOKUP($G11,CTBat!$G$10:$AN$184,BW$9,FALSE)-V11)</f>
        <v>0</v>
      </c>
      <c r="BX11" s="91">
        <f>IF(W11="-","-",VLOOKUP($G11,CTBat!$G$10:$AN$184,BX$9,FALSE)-W11)</f>
        <v>1</v>
      </c>
      <c r="BY11" s="91">
        <f>IF(X11="-","-",VLOOKUP($G11,CTBat!$G$10:$AN$184,BY$9,FALSE)-X11)</f>
        <v>0</v>
      </c>
      <c r="BZ11" s="91">
        <f>IF(Y11="-","-",VLOOKUP($G11,CTBat!$G$10:$AN$184,BZ$9,FALSE)-Y11)</f>
        <v>0</v>
      </c>
      <c r="CA11" s="91">
        <f>IF(Z11="-","-",VLOOKUP($G11,CTBat!$G$10:$AN$184,CA$9,FALSE)-Z11)</f>
        <v>0</v>
      </c>
      <c r="CB11" s="91">
        <f>IF(AA11="-","-",VLOOKUP($G11,CTBat!$G$10:$AN$184,CB$9,FALSE)-AA11)</f>
        <v>0</v>
      </c>
      <c r="CC11" s="91">
        <f>IF(AB11="-","-",VLOOKUP($G11,CTBat!$G$10:$AN$184,CC$9,FALSE)-AB11)</f>
        <v>0</v>
      </c>
      <c r="CD11" s="91">
        <f>IF(AC11="-","-",VLOOKUP($G11,CTBat!$G$10:$AN$184,CD$9,FALSE)-AC11)</f>
        <v>0</v>
      </c>
      <c r="CE11" s="91">
        <f>IF(AD11="-","-",VLOOKUP($G11,CTBat!$G$10:$AN$184,CE$9,FALSE)-AD11)</f>
        <v>0</v>
      </c>
      <c r="CF11" s="91">
        <f>IF(AE11="-","-",VLOOKUP($G11,CTBat!$G$10:$AN$184,CF$9,FALSE)-AE11)</f>
        <v>0</v>
      </c>
      <c r="CG11" s="91" t="str">
        <f>IF(AF11="-","-",VLOOKUP($G11,CTBat!$G$10:$AN$184,CG$9,FALSE)-AF11)</f>
        <v>-</v>
      </c>
      <c r="CH11" s="91" t="str">
        <f>IF(AG11="-","-",VLOOKUP($G11,CTBat!$G$10:$AN$184,CH$9,FALSE)-AG11)</f>
        <v>-</v>
      </c>
      <c r="CI11" s="91" t="str">
        <f>IF(AH11="-","-",VLOOKUP($G11,CTBat!$G$10:$AN$184,CI$9,FALSE)-AH11)</f>
        <v>-</v>
      </c>
      <c r="CJ11" s="91" t="e">
        <f>IF(AI11="-","-",VLOOKUP($G11,CTBat!$G$10:$AN$184,CJ$9,FALSE)-AI11)</f>
        <v>#VALUE!</v>
      </c>
      <c r="CK11" s="91" t="str">
        <f>IF(AJ11="-","-",VLOOKUP($G11,CTBat!$G$10:$AN$184,CK$9,FALSE)-AJ11)</f>
        <v>-</v>
      </c>
      <c r="CL11" s="91" t="str">
        <f>IF(AK11="-","-",VLOOKUP($G11,CTBat!$G$10:$AN$184,CL$9,FALSE)-AK11)</f>
        <v>-</v>
      </c>
      <c r="CM11" s="91">
        <f>IF(AL11="-","-",VLOOKUP($G11,CTBat!$G$10:$AN$184,CM$9,FALSE)-AL11)</f>
        <v>0</v>
      </c>
      <c r="CN11" s="91">
        <f>IF(AM11="-","-",VLOOKUP($G11,CTBat!$G$10:$AN$184,CN$9,FALSE)-AM11)</f>
        <v>0</v>
      </c>
      <c r="CO11" s="91">
        <f>IF(AN11="-","-",VLOOKUP($G11,CTBat!$G$10:$AN$184,CO$9,FALSE)-AN11)</f>
        <v>0</v>
      </c>
      <c r="CP11" s="91">
        <f t="shared" ref="CP11:CP42" si="43">SUM(BR11:BV11)</f>
        <v>1</v>
      </c>
      <c r="CQ11" s="91">
        <f t="shared" ref="CQ11:CQ42" si="44">SUM(BW11:CA11)</f>
        <v>1</v>
      </c>
      <c r="CR11" s="91" t="e">
        <f t="shared" ref="CR11:CR42" si="45">SUM(CB11:CL11)</f>
        <v>#VALUE!</v>
      </c>
      <c r="CS11" s="91">
        <f t="shared" ref="CS11:CS42" si="46">SUM(CM11:CO11)</f>
        <v>0</v>
      </c>
      <c r="CT11" s="91" t="e">
        <f t="shared" ref="CT11:CT42" si="47">SUM(CP11:CS11)</f>
        <v>#VALUE!</v>
      </c>
    </row>
    <row r="12" spans="1:98">
      <c r="C12">
        <f t="shared" si="13"/>
        <v>6</v>
      </c>
      <c r="D12" t="str">
        <f t="shared" si="14"/>
        <v>-</v>
      </c>
      <c r="E12" t="str">
        <f t="shared" si="15"/>
        <v>K</v>
      </c>
      <c r="F12" t="s">
        <v>94</v>
      </c>
      <c r="G12" t="s">
        <v>384</v>
      </c>
      <c r="H12" t="s">
        <v>373</v>
      </c>
      <c r="I12" t="s">
        <v>210</v>
      </c>
      <c r="J12">
        <v>21</v>
      </c>
      <c r="K12" t="s">
        <v>103</v>
      </c>
      <c r="L12" t="s">
        <v>104</v>
      </c>
      <c r="M12" t="s">
        <v>47</v>
      </c>
      <c r="N12" s="3" t="s">
        <v>47</v>
      </c>
      <c r="O12" t="s">
        <v>224</v>
      </c>
      <c r="P12" s="3" t="s">
        <v>223</v>
      </c>
      <c r="Q12">
        <v>6</v>
      </c>
      <c r="R12">
        <v>4</v>
      </c>
      <c r="S12">
        <v>3</v>
      </c>
      <c r="T12">
        <v>4</v>
      </c>
      <c r="U12" s="3">
        <v>3</v>
      </c>
      <c r="V12">
        <v>7</v>
      </c>
      <c r="W12">
        <v>5</v>
      </c>
      <c r="X12">
        <v>5</v>
      </c>
      <c r="Y12">
        <v>5</v>
      </c>
      <c r="Z12" s="3">
        <v>4</v>
      </c>
      <c r="AA12">
        <v>2</v>
      </c>
      <c r="AB12">
        <v>1</v>
      </c>
      <c r="AC12">
        <v>1</v>
      </c>
      <c r="AD12" t="s">
        <v>41</v>
      </c>
      <c r="AE12">
        <v>3</v>
      </c>
      <c r="AF12" t="s">
        <v>41</v>
      </c>
      <c r="AG12" t="s">
        <v>41</v>
      </c>
      <c r="AH12" t="s">
        <v>41</v>
      </c>
      <c r="AI12" t="s">
        <v>41</v>
      </c>
      <c r="AJ12" t="s">
        <v>41</v>
      </c>
      <c r="AK12" s="3" t="s">
        <v>41</v>
      </c>
      <c r="AL12">
        <v>1</v>
      </c>
      <c r="AM12">
        <v>2</v>
      </c>
      <c r="AN12" s="3">
        <v>2</v>
      </c>
      <c r="AO12" s="85" t="s">
        <v>41</v>
      </c>
      <c r="AP12" s="3">
        <v>0</v>
      </c>
      <c r="AQ12" s="6">
        <f t="shared" si="16"/>
        <v>4.333333333333333</v>
      </c>
      <c r="AR12" s="9" t="str">
        <f t="shared" si="17"/>
        <v>Bench</v>
      </c>
      <c r="AS12" s="6">
        <f t="shared" si="18"/>
        <v>5.666666666666667</v>
      </c>
      <c r="AT12" s="6" t="str">
        <f t="shared" si="19"/>
        <v>Reg</v>
      </c>
      <c r="AU12" s="9">
        <f t="shared" si="20"/>
        <v>5.666666666666667</v>
      </c>
      <c r="AV12" s="9" t="str">
        <f t="shared" si="21"/>
        <v>Reg</v>
      </c>
      <c r="AW12" s="53">
        <f t="shared" si="22"/>
        <v>0</v>
      </c>
      <c r="AX12" s="5">
        <f t="shared" si="23"/>
        <v>0</v>
      </c>
      <c r="AY12" s="5">
        <f t="shared" si="24"/>
        <v>0</v>
      </c>
      <c r="AZ12" s="5">
        <f t="shared" si="25"/>
        <v>0</v>
      </c>
      <c r="BA12" s="5">
        <f t="shared" si="26"/>
        <v>0</v>
      </c>
      <c r="BB12" s="5">
        <f t="shared" si="27"/>
        <v>0</v>
      </c>
      <c r="BC12" s="5">
        <f t="shared" si="28"/>
        <v>0</v>
      </c>
      <c r="BD12" s="5">
        <f t="shared" si="29"/>
        <v>0</v>
      </c>
      <c r="BE12" s="3">
        <f t="shared" si="30"/>
        <v>0</v>
      </c>
      <c r="BF12" s="53">
        <f t="shared" si="31"/>
        <v>0</v>
      </c>
      <c r="BG12" s="5">
        <f t="shared" si="32"/>
        <v>0</v>
      </c>
      <c r="BH12" s="5">
        <f t="shared" si="33"/>
        <v>0</v>
      </c>
      <c r="BI12" s="5">
        <f t="shared" si="34"/>
        <v>0</v>
      </c>
      <c r="BJ12" s="5">
        <f t="shared" si="35"/>
        <v>0</v>
      </c>
      <c r="BK12" s="5">
        <f t="shared" si="36"/>
        <v>1</v>
      </c>
      <c r="BL12" s="5">
        <f t="shared" si="37"/>
        <v>1</v>
      </c>
      <c r="BM12" s="5">
        <f t="shared" si="38"/>
        <v>1</v>
      </c>
      <c r="BN12" s="3">
        <f t="shared" si="39"/>
        <v>1</v>
      </c>
      <c r="BO12" s="3">
        <f t="shared" si="40"/>
        <v>0</v>
      </c>
      <c r="BP12" s="7">
        <f t="shared" si="41"/>
        <v>0</v>
      </c>
      <c r="BQ12" t="str">
        <f t="shared" si="42"/>
        <v/>
      </c>
      <c r="BR12" s="91">
        <f>IF(Q12="-","-",VLOOKUP($G12,CTBat!$G$10:$AN$184,BR$9,FALSE)-Q12)</f>
        <v>0</v>
      </c>
      <c r="BS12" s="91">
        <f>IF(R12="-","-",VLOOKUP($G12,CTBat!$G$10:$AN$184,BS$9,FALSE)-R12)</f>
        <v>2</v>
      </c>
      <c r="BT12" s="91">
        <f>IF(S12="-","-",VLOOKUP($G12,CTBat!$G$10:$AN$184,BT$9,FALSE)-S12)</f>
        <v>0</v>
      </c>
      <c r="BU12" s="91">
        <f>IF(T12="-","-",VLOOKUP($G12,CTBat!$G$10:$AN$184,BU$9,FALSE)-T12)</f>
        <v>1</v>
      </c>
      <c r="BV12" s="91">
        <f>IF(U12="-","-",VLOOKUP($G12,CTBat!$G$10:$AN$184,BV$9,FALSE)-U12)</f>
        <v>0</v>
      </c>
      <c r="BW12" s="91">
        <f>IF(V12="-","-",VLOOKUP($G12,CTBat!$G$10:$AN$184,BW$9,FALSE)-V12)</f>
        <v>0</v>
      </c>
      <c r="BX12" s="91">
        <f>IF(W12="-","-",VLOOKUP($G12,CTBat!$G$10:$AN$184,BX$9,FALSE)-W12)</f>
        <v>1</v>
      </c>
      <c r="BY12" s="91">
        <f>IF(X12="-","-",VLOOKUP($G12,CTBat!$G$10:$AN$184,BY$9,FALSE)-X12)</f>
        <v>1</v>
      </c>
      <c r="BZ12" s="91">
        <f>IF(Y12="-","-",VLOOKUP($G12,CTBat!$G$10:$AN$184,BZ$9,FALSE)-Y12)</f>
        <v>2</v>
      </c>
      <c r="CA12" s="91">
        <f>IF(Z12="-","-",VLOOKUP($G12,CTBat!$G$10:$AN$184,CA$9,FALSE)-Z12)</f>
        <v>0</v>
      </c>
      <c r="CB12" s="91">
        <f>IF(AA12="-","-",VLOOKUP($G12,CTBat!$G$10:$AN$184,CB$9,FALSE)-AA12)</f>
        <v>0</v>
      </c>
      <c r="CC12" s="91">
        <f>IF(AB12="-","-",VLOOKUP($G12,CTBat!$G$10:$AN$184,CC$9,FALSE)-AB12)</f>
        <v>0</v>
      </c>
      <c r="CD12" s="91">
        <f>IF(AC12="-","-",VLOOKUP($G12,CTBat!$G$10:$AN$184,CD$9,FALSE)-AC12)</f>
        <v>0</v>
      </c>
      <c r="CE12" s="91" t="str">
        <f>IF(AD12="-","-",VLOOKUP($G12,CTBat!$G$10:$AN$184,CE$9,FALSE)-AD12)</f>
        <v>-</v>
      </c>
      <c r="CF12" s="91">
        <f>IF(AE12="-","-",VLOOKUP($G12,CTBat!$G$10:$AN$184,CF$9,FALSE)-AE12)</f>
        <v>2</v>
      </c>
      <c r="CG12" s="91" t="str">
        <f>IF(AF12="-","-",VLOOKUP($G12,CTBat!$G$10:$AN$184,CG$9,FALSE)-AF12)</f>
        <v>-</v>
      </c>
      <c r="CH12" s="91" t="str">
        <f>IF(AG12="-","-",VLOOKUP($G12,CTBat!$G$10:$AN$184,CH$9,FALSE)-AG12)</f>
        <v>-</v>
      </c>
      <c r="CI12" s="91" t="str">
        <f>IF(AH12="-","-",VLOOKUP($G12,CTBat!$G$10:$AN$184,CI$9,FALSE)-AH12)</f>
        <v>-</v>
      </c>
      <c r="CJ12" s="91" t="str">
        <f>IF(AI12="-","-",VLOOKUP($G12,CTBat!$G$10:$AN$184,CJ$9,FALSE)-AI12)</f>
        <v>-</v>
      </c>
      <c r="CK12" s="91" t="str">
        <f>IF(AJ12="-","-",VLOOKUP($G12,CTBat!$G$10:$AN$184,CK$9,FALSE)-AJ12)</f>
        <v>-</v>
      </c>
      <c r="CL12" s="91" t="str">
        <f>IF(AK12="-","-",VLOOKUP($G12,CTBat!$G$10:$AN$184,CL$9,FALSE)-AK12)</f>
        <v>-</v>
      </c>
      <c r="CM12" s="91">
        <f>IF(AL12="-","-",VLOOKUP($G12,CTBat!$G$10:$AN$184,CM$9,FALSE)-AL12)</f>
        <v>0</v>
      </c>
      <c r="CN12" s="91">
        <f>IF(AM12="-","-",VLOOKUP($G12,CTBat!$G$10:$AN$184,CN$9,FALSE)-AM12)</f>
        <v>0</v>
      </c>
      <c r="CO12" s="91">
        <f>IF(AN12="-","-",VLOOKUP($G12,CTBat!$G$10:$AN$184,CO$9,FALSE)-AN12)</f>
        <v>1</v>
      </c>
      <c r="CP12" s="91">
        <f t="shared" si="43"/>
        <v>3</v>
      </c>
      <c r="CQ12" s="91">
        <f t="shared" si="44"/>
        <v>4</v>
      </c>
      <c r="CR12" s="91">
        <f t="shared" si="45"/>
        <v>2</v>
      </c>
      <c r="CS12" s="91">
        <f t="shared" si="46"/>
        <v>1</v>
      </c>
      <c r="CT12" s="91">
        <f t="shared" si="47"/>
        <v>10</v>
      </c>
    </row>
    <row r="13" spans="1:98">
      <c r="C13" s="105" t="str">
        <f t="shared" si="13"/>
        <v>-</v>
      </c>
      <c r="D13" s="105" t="str">
        <f t="shared" si="14"/>
        <v>-</v>
      </c>
      <c r="E13" s="105" t="str">
        <f t="shared" si="15"/>
        <v>K</v>
      </c>
      <c r="F13" t="s">
        <v>94</v>
      </c>
      <c r="G13" t="s">
        <v>496</v>
      </c>
      <c r="H13" t="s">
        <v>370</v>
      </c>
      <c r="I13" t="s">
        <v>316</v>
      </c>
      <c r="J13">
        <v>17</v>
      </c>
      <c r="K13" t="s">
        <v>104</v>
      </c>
      <c r="L13" t="s">
        <v>103</v>
      </c>
      <c r="M13" t="s">
        <v>47</v>
      </c>
      <c r="N13" s="3" t="s">
        <v>47</v>
      </c>
      <c r="O13" t="s">
        <v>226</v>
      </c>
      <c r="P13" s="3" t="s">
        <v>225</v>
      </c>
      <c r="Q13">
        <v>1</v>
      </c>
      <c r="R13">
        <v>3</v>
      </c>
      <c r="S13">
        <v>2</v>
      </c>
      <c r="T13">
        <v>1</v>
      </c>
      <c r="U13" s="3">
        <v>1</v>
      </c>
      <c r="V13">
        <v>4</v>
      </c>
      <c r="W13">
        <v>7</v>
      </c>
      <c r="X13">
        <v>7</v>
      </c>
      <c r="Y13">
        <v>4</v>
      </c>
      <c r="Z13" s="3">
        <v>3</v>
      </c>
      <c r="AA13">
        <v>3</v>
      </c>
      <c r="AB13">
        <v>2</v>
      </c>
      <c r="AC13">
        <v>1</v>
      </c>
      <c r="AD13" t="s">
        <v>41</v>
      </c>
      <c r="AE13">
        <v>2</v>
      </c>
      <c r="AF13" t="s">
        <v>41</v>
      </c>
      <c r="AG13" t="s">
        <v>41</v>
      </c>
      <c r="AH13" t="s">
        <v>41</v>
      </c>
      <c r="AI13" t="s">
        <v>41</v>
      </c>
      <c r="AJ13" t="s">
        <v>41</v>
      </c>
      <c r="AK13" s="3" t="s">
        <v>41</v>
      </c>
      <c r="AL13">
        <v>3</v>
      </c>
      <c r="AM13">
        <v>1</v>
      </c>
      <c r="AN13" s="3">
        <v>1</v>
      </c>
      <c r="AO13" s="85" t="s">
        <v>41</v>
      </c>
      <c r="AP13" s="3">
        <v>0</v>
      </c>
      <c r="AQ13" s="6">
        <f t="shared" si="16"/>
        <v>-1.1666666666666667</v>
      </c>
      <c r="AR13" s="9" t="str">
        <f t="shared" si="17"/>
        <v>Minors</v>
      </c>
      <c r="AS13" s="6">
        <f t="shared" si="18"/>
        <v>4</v>
      </c>
      <c r="AT13" s="6" t="str">
        <f t="shared" si="19"/>
        <v>Minors</v>
      </c>
      <c r="AU13" s="9">
        <f t="shared" si="20"/>
        <v>4</v>
      </c>
      <c r="AV13" s="9" t="str">
        <f t="shared" si="21"/>
        <v>Minors</v>
      </c>
      <c r="AW13" s="53">
        <f t="shared" si="22"/>
        <v>0</v>
      </c>
      <c r="AX13" s="5">
        <f t="shared" si="23"/>
        <v>0</v>
      </c>
      <c r="AY13" s="5">
        <f t="shared" si="24"/>
        <v>0</v>
      </c>
      <c r="AZ13" s="5">
        <f t="shared" si="25"/>
        <v>0</v>
      </c>
      <c r="BA13" s="5">
        <f t="shared" si="26"/>
        <v>0</v>
      </c>
      <c r="BB13" s="5">
        <f t="shared" si="27"/>
        <v>0</v>
      </c>
      <c r="BC13" s="5">
        <f t="shared" si="28"/>
        <v>0</v>
      </c>
      <c r="BD13" s="5">
        <f t="shared" si="29"/>
        <v>0</v>
      </c>
      <c r="BE13" s="3">
        <f t="shared" si="30"/>
        <v>0</v>
      </c>
      <c r="BF13" s="53">
        <f t="shared" si="31"/>
        <v>0</v>
      </c>
      <c r="BG13" s="5">
        <f t="shared" si="32"/>
        <v>0</v>
      </c>
      <c r="BH13" s="5">
        <f t="shared" si="33"/>
        <v>0</v>
      </c>
      <c r="BI13" s="5">
        <f t="shared" si="34"/>
        <v>0</v>
      </c>
      <c r="BJ13" s="5">
        <f t="shared" si="35"/>
        <v>0</v>
      </c>
      <c r="BK13" s="5">
        <f t="shared" si="36"/>
        <v>0</v>
      </c>
      <c r="BL13" s="5">
        <f t="shared" si="37"/>
        <v>0</v>
      </c>
      <c r="BM13" s="5">
        <f t="shared" si="38"/>
        <v>0</v>
      </c>
      <c r="BN13" s="3">
        <f t="shared" si="39"/>
        <v>0</v>
      </c>
      <c r="BO13" s="3">
        <f t="shared" si="40"/>
        <v>0</v>
      </c>
      <c r="BP13" s="7">
        <f t="shared" si="41"/>
        <v>0</v>
      </c>
      <c r="BQ13" t="str">
        <f t="shared" si="42"/>
        <v/>
      </c>
      <c r="BR13" s="91">
        <f>IF(Q13="-","-",VLOOKUP($G13,CTBat!$G$10:$AN$184,BR$9,FALSE)-Q13)</f>
        <v>1</v>
      </c>
      <c r="BS13" s="91">
        <f>IF(R13="-","-",VLOOKUP($G13,CTBat!$G$10:$AN$184,BS$9,FALSE)-R13)</f>
        <v>2</v>
      </c>
      <c r="BT13" s="91">
        <f>IF(S13="-","-",VLOOKUP($G13,CTBat!$G$10:$AN$184,BT$9,FALSE)-S13)</f>
        <v>1</v>
      </c>
      <c r="BU13" s="91">
        <f>IF(T13="-","-",VLOOKUP($G13,CTBat!$G$10:$AN$184,BU$9,FALSE)-T13)</f>
        <v>1</v>
      </c>
      <c r="BV13" s="91">
        <f>IF(U13="-","-",VLOOKUP($G13,CTBat!$G$10:$AN$184,BV$9,FALSE)-U13)</f>
        <v>1</v>
      </c>
      <c r="BW13" s="91">
        <f>IF(V13="-","-",VLOOKUP($G13,CTBat!$G$10:$AN$184,BW$9,FALSE)-V13)</f>
        <v>0</v>
      </c>
      <c r="BX13" s="91">
        <f>IF(W13="-","-",VLOOKUP($G13,CTBat!$G$10:$AN$184,BX$9,FALSE)-W13)</f>
        <v>0</v>
      </c>
      <c r="BY13" s="91">
        <f>IF(X13="-","-",VLOOKUP($G13,CTBat!$G$10:$AN$184,BY$9,FALSE)-X13)</f>
        <v>3</v>
      </c>
      <c r="BZ13" s="91">
        <f>IF(Y13="-","-",VLOOKUP($G13,CTBat!$G$10:$AN$184,BZ$9,FALSE)-Y13)</f>
        <v>0</v>
      </c>
      <c r="CA13" s="91">
        <f>IF(Z13="-","-",VLOOKUP($G13,CTBat!$G$10:$AN$184,CA$9,FALSE)-Z13)</f>
        <v>1</v>
      </c>
      <c r="CB13" s="91">
        <f>IF(AA13="-","-",VLOOKUP($G13,CTBat!$G$10:$AN$184,CB$9,FALSE)-AA13)</f>
        <v>0</v>
      </c>
      <c r="CC13" s="91">
        <f>IF(AB13="-","-",VLOOKUP($G13,CTBat!$G$10:$AN$184,CC$9,FALSE)-AB13)</f>
        <v>0</v>
      </c>
      <c r="CD13" s="91">
        <f>IF(AC13="-","-",VLOOKUP($G13,CTBat!$G$10:$AN$184,CD$9,FALSE)-AC13)</f>
        <v>0</v>
      </c>
      <c r="CE13" s="91" t="str">
        <f>IF(AD13="-","-",VLOOKUP($G13,CTBat!$G$10:$AN$184,CE$9,FALSE)-AD13)</f>
        <v>-</v>
      </c>
      <c r="CF13" s="91">
        <f>IF(AE13="-","-",VLOOKUP($G13,CTBat!$G$10:$AN$184,CF$9,FALSE)-AE13)</f>
        <v>0</v>
      </c>
      <c r="CG13" s="91" t="str">
        <f>IF(AF13="-","-",VLOOKUP($G13,CTBat!$G$10:$AN$184,CG$9,FALSE)-AF13)</f>
        <v>-</v>
      </c>
      <c r="CH13" s="91" t="str">
        <f>IF(AG13="-","-",VLOOKUP($G13,CTBat!$G$10:$AN$184,CH$9,FALSE)-AG13)</f>
        <v>-</v>
      </c>
      <c r="CI13" s="91" t="str">
        <f>IF(AH13="-","-",VLOOKUP($G13,CTBat!$G$10:$AN$184,CI$9,FALSE)-AH13)</f>
        <v>-</v>
      </c>
      <c r="CJ13" s="91" t="str">
        <f>IF(AI13="-","-",VLOOKUP($G13,CTBat!$G$10:$AN$184,CJ$9,FALSE)-AI13)</f>
        <v>-</v>
      </c>
      <c r="CK13" s="91" t="str">
        <f>IF(AJ13="-","-",VLOOKUP($G13,CTBat!$G$10:$AN$184,CK$9,FALSE)-AJ13)</f>
        <v>-</v>
      </c>
      <c r="CL13" s="91" t="str">
        <f>IF(AK13="-","-",VLOOKUP($G13,CTBat!$G$10:$AN$184,CL$9,FALSE)-AK13)</f>
        <v>-</v>
      </c>
      <c r="CM13" s="91">
        <f>IF(AL13="-","-",VLOOKUP($G13,CTBat!$G$10:$AN$184,CM$9,FALSE)-AL13)</f>
        <v>0</v>
      </c>
      <c r="CN13" s="91">
        <f>IF(AM13="-","-",VLOOKUP($G13,CTBat!$G$10:$AN$184,CN$9,FALSE)-AM13)</f>
        <v>0</v>
      </c>
      <c r="CO13" s="91">
        <f>IF(AN13="-","-",VLOOKUP($G13,CTBat!$G$10:$AN$184,CO$9,FALSE)-AN13)</f>
        <v>0</v>
      </c>
      <c r="CP13" s="91">
        <f t="shared" si="43"/>
        <v>6</v>
      </c>
      <c r="CQ13" s="91">
        <f t="shared" si="44"/>
        <v>4</v>
      </c>
      <c r="CR13" s="91">
        <f t="shared" si="45"/>
        <v>0</v>
      </c>
      <c r="CS13" s="91">
        <f t="shared" si="46"/>
        <v>0</v>
      </c>
      <c r="CT13" s="91">
        <f t="shared" si="47"/>
        <v>10</v>
      </c>
    </row>
    <row r="14" spans="1:98">
      <c r="C14">
        <f t="shared" si="13"/>
        <v>8</v>
      </c>
      <c r="D14" t="str">
        <f t="shared" si="14"/>
        <v>-</v>
      </c>
      <c r="E14" t="str">
        <f t="shared" si="15"/>
        <v>K</v>
      </c>
      <c r="F14" t="s">
        <v>99</v>
      </c>
      <c r="G14" t="s">
        <v>526</v>
      </c>
      <c r="H14" t="s">
        <v>370</v>
      </c>
      <c r="I14" t="s">
        <v>316</v>
      </c>
      <c r="J14">
        <v>21</v>
      </c>
      <c r="K14" t="s">
        <v>103</v>
      </c>
      <c r="L14" t="s">
        <v>103</v>
      </c>
      <c r="M14" t="s">
        <v>47</v>
      </c>
      <c r="N14" s="3" t="s">
        <v>47</v>
      </c>
      <c r="O14" t="s">
        <v>226</v>
      </c>
      <c r="P14" s="3" t="s">
        <v>223</v>
      </c>
      <c r="Q14">
        <v>3</v>
      </c>
      <c r="R14">
        <v>6</v>
      </c>
      <c r="S14">
        <v>2</v>
      </c>
      <c r="T14">
        <v>3</v>
      </c>
      <c r="U14" s="3">
        <v>3</v>
      </c>
      <c r="V14">
        <v>5</v>
      </c>
      <c r="W14">
        <v>8</v>
      </c>
      <c r="X14">
        <v>5</v>
      </c>
      <c r="Y14">
        <v>4</v>
      </c>
      <c r="Z14" s="3">
        <v>5</v>
      </c>
      <c r="AA14">
        <v>1</v>
      </c>
      <c r="AB14">
        <v>3</v>
      </c>
      <c r="AC14">
        <v>1</v>
      </c>
      <c r="AD14" t="s">
        <v>41</v>
      </c>
      <c r="AE14">
        <v>1</v>
      </c>
      <c r="AF14" t="s">
        <v>41</v>
      </c>
      <c r="AG14" t="s">
        <v>41</v>
      </c>
      <c r="AH14" t="s">
        <v>41</v>
      </c>
      <c r="AI14">
        <v>1</v>
      </c>
      <c r="AJ14">
        <v>2</v>
      </c>
      <c r="AK14" s="3">
        <v>5</v>
      </c>
      <c r="AL14">
        <v>6</v>
      </c>
      <c r="AM14">
        <v>6</v>
      </c>
      <c r="AN14" s="3">
        <v>5</v>
      </c>
      <c r="AO14" s="85" t="s">
        <v>41</v>
      </c>
      <c r="AP14" s="3">
        <v>0</v>
      </c>
      <c r="AQ14" s="6">
        <f t="shared" si="16"/>
        <v>1.1666666666666665</v>
      </c>
      <c r="AR14" s="9" t="str">
        <f t="shared" si="17"/>
        <v>Minors</v>
      </c>
      <c r="AS14" s="6">
        <f t="shared" si="18"/>
        <v>4.166666666666667</v>
      </c>
      <c r="AT14" s="6" t="str">
        <f t="shared" si="19"/>
        <v>Bench</v>
      </c>
      <c r="AU14" s="9">
        <f t="shared" si="20"/>
        <v>4.166666666666667</v>
      </c>
      <c r="AV14" s="9" t="str">
        <f t="shared" si="21"/>
        <v>Bench</v>
      </c>
      <c r="AW14" s="53">
        <f t="shared" si="22"/>
        <v>0</v>
      </c>
      <c r="AX14" s="5">
        <f t="shared" si="23"/>
        <v>0</v>
      </c>
      <c r="AY14" s="5">
        <f t="shared" si="24"/>
        <v>0</v>
      </c>
      <c r="AZ14" s="5">
        <f t="shared" si="25"/>
        <v>0</v>
      </c>
      <c r="BA14" s="5">
        <f t="shared" si="26"/>
        <v>0</v>
      </c>
      <c r="BB14" s="5">
        <f t="shared" si="27"/>
        <v>0</v>
      </c>
      <c r="BC14" s="5">
        <f t="shared" si="28"/>
        <v>0</v>
      </c>
      <c r="BD14" s="5">
        <f t="shared" si="29"/>
        <v>0</v>
      </c>
      <c r="BE14" s="3">
        <f t="shared" si="30"/>
        <v>0</v>
      </c>
      <c r="BF14" s="53">
        <f t="shared" si="31"/>
        <v>0</v>
      </c>
      <c r="BG14" s="5">
        <f t="shared" si="32"/>
        <v>0</v>
      </c>
      <c r="BH14" s="5">
        <f t="shared" si="33"/>
        <v>0</v>
      </c>
      <c r="BI14" s="5">
        <f t="shared" si="34"/>
        <v>0</v>
      </c>
      <c r="BJ14" s="5">
        <f t="shared" si="35"/>
        <v>0</v>
      </c>
      <c r="BK14" s="5">
        <f t="shared" si="36"/>
        <v>0</v>
      </c>
      <c r="BL14" s="5">
        <f t="shared" si="37"/>
        <v>0</v>
      </c>
      <c r="BM14" s="5">
        <f t="shared" si="38"/>
        <v>1</v>
      </c>
      <c r="BN14" s="3">
        <f t="shared" si="39"/>
        <v>1</v>
      </c>
      <c r="BO14" s="3">
        <f t="shared" si="40"/>
        <v>0</v>
      </c>
      <c r="BP14" s="7">
        <f t="shared" si="41"/>
        <v>1</v>
      </c>
      <c r="BQ14" t="str">
        <f t="shared" si="42"/>
        <v/>
      </c>
      <c r="BR14" s="91">
        <f>IF(Q14="-","-",VLOOKUP($G14,CTBat!$G$10:$AN$184,BR$9,FALSE)-Q14)</f>
        <v>1</v>
      </c>
      <c r="BS14" s="91">
        <f>IF(R14="-","-",VLOOKUP($G14,CTBat!$G$10:$AN$184,BS$9,FALSE)-R14)</f>
        <v>2</v>
      </c>
      <c r="BT14" s="91">
        <f>IF(S14="-","-",VLOOKUP($G14,CTBat!$G$10:$AN$184,BT$9,FALSE)-S14)</f>
        <v>0</v>
      </c>
      <c r="BU14" s="91">
        <f>IF(T14="-","-",VLOOKUP($G14,CTBat!$G$10:$AN$184,BU$9,FALSE)-T14)</f>
        <v>1</v>
      </c>
      <c r="BV14" s="91">
        <f>IF(U14="-","-",VLOOKUP($G14,CTBat!$G$10:$AN$184,BV$9,FALSE)-U14)</f>
        <v>0</v>
      </c>
      <c r="BW14" s="91">
        <f>IF(V14="-","-",VLOOKUP($G14,CTBat!$G$10:$AN$184,BW$9,FALSE)-V14)</f>
        <v>0</v>
      </c>
      <c r="BX14" s="91">
        <f>IF(W14="-","-",VLOOKUP($G14,CTBat!$G$10:$AN$184,BX$9,FALSE)-W14)</f>
        <v>0</v>
      </c>
      <c r="BY14" s="91">
        <f>IF(X14="-","-",VLOOKUP($G14,CTBat!$G$10:$AN$184,BY$9,FALSE)-X14)</f>
        <v>0</v>
      </c>
      <c r="BZ14" s="91">
        <f>IF(Y14="-","-",VLOOKUP($G14,CTBat!$G$10:$AN$184,BZ$9,FALSE)-Y14)</f>
        <v>2</v>
      </c>
      <c r="CA14" s="91">
        <f>IF(Z14="-","-",VLOOKUP($G14,CTBat!$G$10:$AN$184,CA$9,FALSE)-Z14)</f>
        <v>0</v>
      </c>
      <c r="CB14" s="91">
        <f>IF(AA14="-","-",VLOOKUP($G14,CTBat!$G$10:$AN$184,CB$9,FALSE)-AA14)</f>
        <v>0</v>
      </c>
      <c r="CC14" s="91">
        <f>IF(AB14="-","-",VLOOKUP($G14,CTBat!$G$10:$AN$184,CC$9,FALSE)-AB14)</f>
        <v>0</v>
      </c>
      <c r="CD14" s="91">
        <f>IF(AC14="-","-",VLOOKUP($G14,CTBat!$G$10:$AN$184,CD$9,FALSE)-AC14)</f>
        <v>0</v>
      </c>
      <c r="CE14" s="91" t="str">
        <f>IF(AD14="-","-",VLOOKUP($G14,CTBat!$G$10:$AN$184,CE$9,FALSE)-AD14)</f>
        <v>-</v>
      </c>
      <c r="CF14" s="91">
        <f>IF(AE14="-","-",VLOOKUP($G14,CTBat!$G$10:$AN$184,CF$9,FALSE)-AE14)</f>
        <v>0</v>
      </c>
      <c r="CG14" s="91" t="str">
        <f>IF(AF14="-","-",VLOOKUP($G14,CTBat!$G$10:$AN$184,CG$9,FALSE)-AF14)</f>
        <v>-</v>
      </c>
      <c r="CH14" s="91" t="str">
        <f>IF(AG14="-","-",VLOOKUP($G14,CTBat!$G$10:$AN$184,CH$9,FALSE)-AG14)</f>
        <v>-</v>
      </c>
      <c r="CI14" s="91" t="str">
        <f>IF(AH14="-","-",VLOOKUP($G14,CTBat!$G$10:$AN$184,CI$9,FALSE)-AH14)</f>
        <v>-</v>
      </c>
      <c r="CJ14" s="91">
        <f>IF(AI14="-","-",VLOOKUP($G14,CTBat!$G$10:$AN$184,CJ$9,FALSE)-AI14)</f>
        <v>0</v>
      </c>
      <c r="CK14" s="91">
        <f>IF(AJ14="-","-",VLOOKUP($G14,CTBat!$G$10:$AN$184,CK$9,FALSE)-AJ14)</f>
        <v>0</v>
      </c>
      <c r="CL14" s="91">
        <f>IF(AK14="-","-",VLOOKUP($G14,CTBat!$G$10:$AN$184,CL$9,FALSE)-AK14)</f>
        <v>2</v>
      </c>
      <c r="CM14" s="91">
        <f>IF(AL14="-","-",VLOOKUP($G14,CTBat!$G$10:$AN$184,CM$9,FALSE)-AL14)</f>
        <v>0</v>
      </c>
      <c r="CN14" s="91">
        <f>IF(AM14="-","-",VLOOKUP($G14,CTBat!$G$10:$AN$184,CN$9,FALSE)-AM14)</f>
        <v>1</v>
      </c>
      <c r="CO14" s="91">
        <f>IF(AN14="-","-",VLOOKUP($G14,CTBat!$G$10:$AN$184,CO$9,FALSE)-AN14)</f>
        <v>0</v>
      </c>
      <c r="CP14" s="91">
        <f t="shared" si="43"/>
        <v>4</v>
      </c>
      <c r="CQ14" s="91">
        <f t="shared" si="44"/>
        <v>2</v>
      </c>
      <c r="CR14" s="91">
        <f t="shared" si="45"/>
        <v>2</v>
      </c>
      <c r="CS14" s="91">
        <f t="shared" si="46"/>
        <v>1</v>
      </c>
      <c r="CT14" s="91">
        <f t="shared" si="47"/>
        <v>9</v>
      </c>
    </row>
    <row r="15" spans="1:98">
      <c r="C15" t="str">
        <f t="shared" si="13"/>
        <v>-</v>
      </c>
      <c r="D15" t="str">
        <f t="shared" si="14"/>
        <v>-</v>
      </c>
      <c r="E15" t="str">
        <f t="shared" si="15"/>
        <v>K</v>
      </c>
      <c r="F15" t="s">
        <v>92</v>
      </c>
      <c r="G15" t="s">
        <v>401</v>
      </c>
      <c r="H15" t="s">
        <v>370</v>
      </c>
      <c r="I15" t="s">
        <v>316</v>
      </c>
      <c r="J15">
        <v>20</v>
      </c>
      <c r="K15" t="s">
        <v>104</v>
      </c>
      <c r="L15" t="s">
        <v>104</v>
      </c>
      <c r="M15" t="s">
        <v>47</v>
      </c>
      <c r="N15" s="240" t="s">
        <v>47</v>
      </c>
      <c r="O15" t="s">
        <v>224</v>
      </c>
      <c r="P15" s="240" t="s">
        <v>226</v>
      </c>
      <c r="Q15">
        <v>4</v>
      </c>
      <c r="R15">
        <v>3</v>
      </c>
      <c r="S15">
        <v>3</v>
      </c>
      <c r="T15">
        <v>3</v>
      </c>
      <c r="U15" s="240">
        <v>4</v>
      </c>
      <c r="V15">
        <v>4</v>
      </c>
      <c r="W15">
        <v>4</v>
      </c>
      <c r="X15">
        <v>6</v>
      </c>
      <c r="Y15">
        <v>4</v>
      </c>
      <c r="Z15" s="240">
        <v>5</v>
      </c>
      <c r="AA15">
        <v>5</v>
      </c>
      <c r="AB15">
        <v>5</v>
      </c>
      <c r="AC15">
        <v>6</v>
      </c>
      <c r="AD15">
        <v>4</v>
      </c>
      <c r="AE15" t="s">
        <v>41</v>
      </c>
      <c r="AF15" t="s">
        <v>41</v>
      </c>
      <c r="AG15" t="s">
        <v>41</v>
      </c>
      <c r="AH15" t="s">
        <v>41</v>
      </c>
      <c r="AI15" t="s">
        <v>41</v>
      </c>
      <c r="AJ15" t="s">
        <v>41</v>
      </c>
      <c r="AK15" s="240" t="s">
        <v>41</v>
      </c>
      <c r="AL15">
        <v>1</v>
      </c>
      <c r="AM15">
        <v>1</v>
      </c>
      <c r="AN15" s="240">
        <v>2</v>
      </c>
      <c r="AO15" s="85" t="s">
        <v>41</v>
      </c>
      <c r="AP15" s="240">
        <v>0</v>
      </c>
      <c r="AQ15" s="6">
        <f t="shared" si="16"/>
        <v>2.3333333333333335</v>
      </c>
      <c r="AR15" s="9" t="str">
        <f t="shared" si="17"/>
        <v>Minors</v>
      </c>
      <c r="AS15" s="6">
        <f t="shared" si="18"/>
        <v>3.666666666666667</v>
      </c>
      <c r="AT15" s="6" t="str">
        <f t="shared" si="19"/>
        <v>Minors</v>
      </c>
      <c r="AU15" s="9">
        <f t="shared" si="20"/>
        <v>3.666666666666667</v>
      </c>
      <c r="AV15" s="9" t="str">
        <f t="shared" si="21"/>
        <v>Minors</v>
      </c>
      <c r="AW15" s="53">
        <f t="shared" si="22"/>
        <v>0</v>
      </c>
      <c r="AX15" s="239">
        <f t="shared" si="23"/>
        <v>0</v>
      </c>
      <c r="AY15" s="239">
        <f t="shared" si="24"/>
        <v>0</v>
      </c>
      <c r="AZ15" s="239">
        <f t="shared" si="25"/>
        <v>0</v>
      </c>
      <c r="BA15" s="239">
        <f t="shared" si="26"/>
        <v>0</v>
      </c>
      <c r="BB15" s="239">
        <f t="shared" si="27"/>
        <v>0</v>
      </c>
      <c r="BC15" s="239">
        <f t="shared" si="28"/>
        <v>0</v>
      </c>
      <c r="BD15" s="239">
        <f t="shared" si="29"/>
        <v>0</v>
      </c>
      <c r="BE15" s="240">
        <f t="shared" si="30"/>
        <v>0</v>
      </c>
      <c r="BF15" s="53">
        <f t="shared" si="31"/>
        <v>0</v>
      </c>
      <c r="BG15" s="239">
        <f t="shared" si="32"/>
        <v>0</v>
      </c>
      <c r="BH15" s="239">
        <f t="shared" si="33"/>
        <v>0</v>
      </c>
      <c r="BI15" s="239">
        <f t="shared" si="34"/>
        <v>0</v>
      </c>
      <c r="BJ15" s="239">
        <f t="shared" si="35"/>
        <v>0</v>
      </c>
      <c r="BK15" s="239">
        <f t="shared" si="36"/>
        <v>0</v>
      </c>
      <c r="BL15" s="239">
        <f t="shared" si="37"/>
        <v>0</v>
      </c>
      <c r="BM15" s="239">
        <f t="shared" si="38"/>
        <v>0</v>
      </c>
      <c r="BN15" s="240">
        <f t="shared" si="39"/>
        <v>0</v>
      </c>
      <c r="BO15" s="240">
        <f t="shared" si="40"/>
        <v>0</v>
      </c>
      <c r="BP15" s="7">
        <f t="shared" si="41"/>
        <v>0</v>
      </c>
      <c r="BQ15" t="str">
        <f t="shared" si="42"/>
        <v/>
      </c>
      <c r="BR15" s="91">
        <f>IF(Q15="-","-",VLOOKUP($G15,CTBat!$G$10:$AN$184,BR$9,FALSE)-Q15)</f>
        <v>0</v>
      </c>
      <c r="BS15" s="91">
        <f>IF(R15="-","-",VLOOKUP($G15,CTBat!$G$10:$AN$184,BS$9,FALSE)-R15)</f>
        <v>0</v>
      </c>
      <c r="BT15" s="91">
        <f>IF(S15="-","-",VLOOKUP($G15,CTBat!$G$10:$AN$184,BT$9,FALSE)-S15)</f>
        <v>1</v>
      </c>
      <c r="BU15" s="91">
        <f>IF(T15="-","-",VLOOKUP($G15,CTBat!$G$10:$AN$184,BU$9,FALSE)-T15)</f>
        <v>1</v>
      </c>
      <c r="BV15" s="91">
        <f>IF(U15="-","-",VLOOKUP($G15,CTBat!$G$10:$AN$184,BV$9,FALSE)-U15)</f>
        <v>0</v>
      </c>
      <c r="BW15" s="91">
        <f>IF(V15="-","-",VLOOKUP($G15,CTBat!$G$10:$AN$184,BW$9,FALSE)-V15)</f>
        <v>1</v>
      </c>
      <c r="BX15" s="91">
        <f>IF(W15="-","-",VLOOKUP($G15,CTBat!$G$10:$AN$184,BX$9,FALSE)-W15)</f>
        <v>0</v>
      </c>
      <c r="BY15" s="91">
        <f>IF(X15="-","-",VLOOKUP($G15,CTBat!$G$10:$AN$184,BY$9,FALSE)-X15)</f>
        <v>1</v>
      </c>
      <c r="BZ15" s="91">
        <f>IF(Y15="-","-",VLOOKUP($G15,CTBat!$G$10:$AN$184,BZ$9,FALSE)-Y15)</f>
        <v>2</v>
      </c>
      <c r="CA15" s="91">
        <f>IF(Z15="-","-",VLOOKUP($G15,CTBat!$G$10:$AN$184,CA$9,FALSE)-Z15)</f>
        <v>0</v>
      </c>
      <c r="CB15" s="91">
        <f>IF(AA15="-","-",VLOOKUP($G15,CTBat!$G$10:$AN$184,CB$9,FALSE)-AA15)</f>
        <v>0</v>
      </c>
      <c r="CC15" s="91">
        <f>IF(AB15="-","-",VLOOKUP($G15,CTBat!$G$10:$AN$184,CC$9,FALSE)-AB15)</f>
        <v>0</v>
      </c>
      <c r="CD15" s="91">
        <f>IF(AC15="-","-",VLOOKUP($G15,CTBat!$G$10:$AN$184,CD$9,FALSE)-AC15)</f>
        <v>0</v>
      </c>
      <c r="CE15" s="91">
        <f>IF(AD15="-","-",VLOOKUP($G15,CTBat!$G$10:$AN$184,CE$9,FALSE)-AD15)</f>
        <v>0</v>
      </c>
      <c r="CF15" s="91" t="str">
        <f>IF(AE15="-","-",VLOOKUP($G15,CTBat!$G$10:$AN$184,CF$9,FALSE)-AE15)</f>
        <v>-</v>
      </c>
      <c r="CG15" s="91" t="str">
        <f>IF(AF15="-","-",VLOOKUP($G15,CTBat!$G$10:$AN$184,CG$9,FALSE)-AF15)</f>
        <v>-</v>
      </c>
      <c r="CH15" s="91" t="str">
        <f>IF(AG15="-","-",VLOOKUP($G15,CTBat!$G$10:$AN$184,CH$9,FALSE)-AG15)</f>
        <v>-</v>
      </c>
      <c r="CI15" s="91" t="str">
        <f>IF(AH15="-","-",VLOOKUP($G15,CTBat!$G$10:$AN$184,CI$9,FALSE)-AH15)</f>
        <v>-</v>
      </c>
      <c r="CJ15" s="91" t="str">
        <f>IF(AI15="-","-",VLOOKUP($G15,CTBat!$G$10:$AN$184,CJ$9,FALSE)-AI15)</f>
        <v>-</v>
      </c>
      <c r="CK15" s="91" t="str">
        <f>IF(AJ15="-","-",VLOOKUP($G15,CTBat!$G$10:$AN$184,CK$9,FALSE)-AJ15)</f>
        <v>-</v>
      </c>
      <c r="CL15" s="91" t="str">
        <f>IF(AK15="-","-",VLOOKUP($G15,CTBat!$G$10:$AN$184,CL$9,FALSE)-AK15)</f>
        <v>-</v>
      </c>
      <c r="CM15" s="91">
        <f>IF(AL15="-","-",VLOOKUP($G15,CTBat!$G$10:$AN$184,CM$9,FALSE)-AL15)</f>
        <v>0</v>
      </c>
      <c r="CN15" s="91">
        <f>IF(AM15="-","-",VLOOKUP($G15,CTBat!$G$10:$AN$184,CN$9,FALSE)-AM15)</f>
        <v>0</v>
      </c>
      <c r="CO15" s="91">
        <f>IF(AN15="-","-",VLOOKUP($G15,CTBat!$G$10:$AN$184,CO$9,FALSE)-AN15)</f>
        <v>0</v>
      </c>
      <c r="CP15" s="91">
        <f t="shared" si="43"/>
        <v>2</v>
      </c>
      <c r="CQ15" s="91">
        <f t="shared" si="44"/>
        <v>4</v>
      </c>
      <c r="CR15" s="91">
        <f t="shared" si="45"/>
        <v>0</v>
      </c>
      <c r="CS15" s="91">
        <f t="shared" si="46"/>
        <v>0</v>
      </c>
      <c r="CT15" s="91">
        <f t="shared" si="47"/>
        <v>6</v>
      </c>
    </row>
    <row r="16" spans="1:98">
      <c r="C16" t="str">
        <f t="shared" si="13"/>
        <v>-</v>
      </c>
      <c r="D16" t="str">
        <f t="shared" si="14"/>
        <v>-</v>
      </c>
      <c r="E16" t="str">
        <f t="shared" si="15"/>
        <v>K</v>
      </c>
      <c r="F16" t="s">
        <v>95</v>
      </c>
      <c r="G16" t="s">
        <v>445</v>
      </c>
      <c r="H16" t="s">
        <v>370</v>
      </c>
      <c r="I16" t="s">
        <v>316</v>
      </c>
      <c r="J16">
        <v>18</v>
      </c>
      <c r="K16" t="s">
        <v>106</v>
      </c>
      <c r="L16" t="s">
        <v>104</v>
      </c>
      <c r="M16" t="s">
        <v>47</v>
      </c>
      <c r="N16" s="215" t="s">
        <v>47</v>
      </c>
      <c r="O16" t="s">
        <v>226</v>
      </c>
      <c r="P16" s="215" t="s">
        <v>225</v>
      </c>
      <c r="Q16">
        <v>5</v>
      </c>
      <c r="R16">
        <v>4</v>
      </c>
      <c r="S16">
        <v>2</v>
      </c>
      <c r="T16">
        <v>2</v>
      </c>
      <c r="U16" s="215">
        <v>4</v>
      </c>
      <c r="V16">
        <v>5</v>
      </c>
      <c r="W16">
        <v>4</v>
      </c>
      <c r="X16">
        <v>3</v>
      </c>
      <c r="Y16">
        <v>3</v>
      </c>
      <c r="Z16" s="215">
        <v>4</v>
      </c>
      <c r="AA16">
        <v>4</v>
      </c>
      <c r="AB16">
        <v>2</v>
      </c>
      <c r="AC16">
        <v>1</v>
      </c>
      <c r="AD16" t="s">
        <v>41</v>
      </c>
      <c r="AE16" t="s">
        <v>41</v>
      </c>
      <c r="AF16">
        <v>2</v>
      </c>
      <c r="AG16">
        <v>1</v>
      </c>
      <c r="AH16">
        <v>1</v>
      </c>
      <c r="AI16" t="s">
        <v>41</v>
      </c>
      <c r="AJ16" t="s">
        <v>41</v>
      </c>
      <c r="AK16" s="215" t="s">
        <v>41</v>
      </c>
      <c r="AL16">
        <v>8</v>
      </c>
      <c r="AM16">
        <v>10</v>
      </c>
      <c r="AN16" s="215">
        <v>10</v>
      </c>
      <c r="AO16" t="s">
        <v>41</v>
      </c>
      <c r="AP16" s="215" t="s">
        <v>45</v>
      </c>
      <c r="AQ16" s="6">
        <f t="shared" si="16"/>
        <v>2.5</v>
      </c>
      <c r="AR16" s="9" t="str">
        <f t="shared" si="17"/>
        <v>Minors</v>
      </c>
      <c r="AS16" s="6">
        <f t="shared" si="18"/>
        <v>3.1666666666666665</v>
      </c>
      <c r="AT16" s="6" t="str">
        <f t="shared" si="19"/>
        <v>Minors</v>
      </c>
      <c r="AU16" s="9">
        <f t="shared" si="20"/>
        <v>3.1666666666666665</v>
      </c>
      <c r="AV16" s="9" t="str">
        <f t="shared" si="21"/>
        <v>Minors</v>
      </c>
      <c r="AW16" s="53">
        <f t="shared" si="22"/>
        <v>0</v>
      </c>
      <c r="AX16" s="214">
        <f t="shared" si="23"/>
        <v>0</v>
      </c>
      <c r="AY16" s="214">
        <f t="shared" si="24"/>
        <v>0</v>
      </c>
      <c r="AZ16" s="214">
        <f t="shared" si="25"/>
        <v>0</v>
      </c>
      <c r="BA16" s="214">
        <f t="shared" si="26"/>
        <v>0</v>
      </c>
      <c r="BB16" s="214">
        <f t="shared" si="27"/>
        <v>0</v>
      </c>
      <c r="BC16" s="214">
        <f t="shared" si="28"/>
        <v>0</v>
      </c>
      <c r="BD16" s="214">
        <f t="shared" si="29"/>
        <v>0</v>
      </c>
      <c r="BE16" s="215">
        <f t="shared" si="30"/>
        <v>0</v>
      </c>
      <c r="BF16" s="53">
        <f t="shared" si="31"/>
        <v>0</v>
      </c>
      <c r="BG16" s="214">
        <f t="shared" si="32"/>
        <v>0</v>
      </c>
      <c r="BH16" s="214">
        <f t="shared" si="33"/>
        <v>0</v>
      </c>
      <c r="BI16" s="214">
        <f t="shared" si="34"/>
        <v>0</v>
      </c>
      <c r="BJ16" s="214">
        <f t="shared" si="35"/>
        <v>0</v>
      </c>
      <c r="BK16" s="214">
        <f t="shared" si="36"/>
        <v>0</v>
      </c>
      <c r="BL16" s="214">
        <f t="shared" si="37"/>
        <v>0</v>
      </c>
      <c r="BM16" s="214">
        <f t="shared" si="38"/>
        <v>0</v>
      </c>
      <c r="BN16" s="215">
        <f t="shared" si="39"/>
        <v>0</v>
      </c>
      <c r="BO16" s="215">
        <f t="shared" si="40"/>
        <v>5</v>
      </c>
      <c r="BP16" s="7">
        <f t="shared" si="41"/>
        <v>0</v>
      </c>
      <c r="BQ16" t="str">
        <f t="shared" si="42"/>
        <v/>
      </c>
      <c r="BR16" s="91">
        <f>IF(Q16="-","-",VLOOKUP($G16,CTBat!$G$10:$AN$184,BR$9,FALSE)-Q16)</f>
        <v>0</v>
      </c>
      <c r="BS16" s="91">
        <f>IF(R16="-","-",VLOOKUP($G16,CTBat!$G$10:$AN$184,BS$9,FALSE)-R16)</f>
        <v>1</v>
      </c>
      <c r="BT16" s="91">
        <f>IF(S16="-","-",VLOOKUP($G16,CTBat!$G$10:$AN$184,BT$9,FALSE)-S16)</f>
        <v>0</v>
      </c>
      <c r="BU16" s="91">
        <f>IF(T16="-","-",VLOOKUP($G16,CTBat!$G$10:$AN$184,BU$9,FALSE)-T16)</f>
        <v>0</v>
      </c>
      <c r="BV16" s="91">
        <f>IF(U16="-","-",VLOOKUP($G16,CTBat!$G$10:$AN$184,BV$9,FALSE)-U16)</f>
        <v>1</v>
      </c>
      <c r="BW16" s="91">
        <f>IF(V16="-","-",VLOOKUP($G16,CTBat!$G$10:$AN$184,BW$9,FALSE)-V16)</f>
        <v>0</v>
      </c>
      <c r="BX16" s="91">
        <f>IF(W16="-","-",VLOOKUP($G16,CTBat!$G$10:$AN$184,BX$9,FALSE)-W16)</f>
        <v>1</v>
      </c>
      <c r="BY16" s="91">
        <f>IF(X16="-","-",VLOOKUP($G16,CTBat!$G$10:$AN$184,BY$9,FALSE)-X16)</f>
        <v>-1</v>
      </c>
      <c r="BZ16" s="91">
        <f>IF(Y16="-","-",VLOOKUP($G16,CTBat!$G$10:$AN$184,BZ$9,FALSE)-Y16)</f>
        <v>1</v>
      </c>
      <c r="CA16" s="91">
        <f>IF(Z16="-","-",VLOOKUP($G16,CTBat!$G$10:$AN$184,CA$9,FALSE)-Z16)</f>
        <v>2</v>
      </c>
      <c r="CB16" s="91">
        <f>IF(AA16="-","-",VLOOKUP($G16,CTBat!$G$10:$AN$184,CB$9,FALSE)-AA16)</f>
        <v>0</v>
      </c>
      <c r="CC16" s="91">
        <f>IF(AB16="-","-",VLOOKUP($G16,CTBat!$G$10:$AN$184,CC$9,FALSE)-AB16)</f>
        <v>0</v>
      </c>
      <c r="CD16" s="91">
        <f>IF(AC16="-","-",VLOOKUP($G16,CTBat!$G$10:$AN$184,CD$9,FALSE)-AC16)</f>
        <v>0</v>
      </c>
      <c r="CE16" s="91" t="str">
        <f>IF(AD16="-","-",VLOOKUP($G16,CTBat!$G$10:$AN$184,CE$9,FALSE)-AD16)</f>
        <v>-</v>
      </c>
      <c r="CF16" s="91" t="str">
        <f>IF(AE16="-","-",VLOOKUP($G16,CTBat!$G$10:$AN$184,CF$9,FALSE)-AE16)</f>
        <v>-</v>
      </c>
      <c r="CG16" s="91">
        <f>IF(AF16="-","-",VLOOKUP($G16,CTBat!$G$10:$AN$184,CG$9,FALSE)-AF16)</f>
        <v>0</v>
      </c>
      <c r="CH16" s="91">
        <f>IF(AG16="-","-",VLOOKUP($G16,CTBat!$G$10:$AN$184,CH$9,FALSE)-AG16)</f>
        <v>1</v>
      </c>
      <c r="CI16" s="91">
        <f>IF(AH16="-","-",VLOOKUP($G16,CTBat!$G$10:$AN$184,CI$9,FALSE)-AH16)</f>
        <v>0</v>
      </c>
      <c r="CJ16" s="91" t="str">
        <f>IF(AI16="-","-",VLOOKUP($G16,CTBat!$G$10:$AN$184,CJ$9,FALSE)-AI16)</f>
        <v>-</v>
      </c>
      <c r="CK16" s="91" t="str">
        <f>IF(AJ16="-","-",VLOOKUP($G16,CTBat!$G$10:$AN$184,CK$9,FALSE)-AJ16)</f>
        <v>-</v>
      </c>
      <c r="CL16" s="91" t="str">
        <f>IF(AK16="-","-",VLOOKUP($G16,CTBat!$G$10:$AN$184,CL$9,FALSE)-AK16)</f>
        <v>-</v>
      </c>
      <c r="CM16" s="91">
        <f>IF(AL16="-","-",VLOOKUP($G16,CTBat!$G$10:$AN$184,CM$9,FALSE)-AL16)</f>
        <v>0</v>
      </c>
      <c r="CN16" s="91">
        <f>IF(AM16="-","-",VLOOKUP($G16,CTBat!$G$10:$AN$184,CN$9,FALSE)-AM16)</f>
        <v>0</v>
      </c>
      <c r="CO16" s="91">
        <f>IF(AN16="-","-",VLOOKUP($G16,CTBat!$G$10:$AN$184,CO$9,FALSE)-AN16)</f>
        <v>0</v>
      </c>
      <c r="CP16" s="91">
        <f t="shared" si="43"/>
        <v>2</v>
      </c>
      <c r="CQ16" s="91">
        <f t="shared" si="44"/>
        <v>3</v>
      </c>
      <c r="CR16" s="91">
        <f t="shared" si="45"/>
        <v>1</v>
      </c>
      <c r="CS16" s="91">
        <f t="shared" si="46"/>
        <v>0</v>
      </c>
      <c r="CT16" s="91">
        <f t="shared" si="47"/>
        <v>6</v>
      </c>
    </row>
    <row r="17" spans="1:98">
      <c r="C17">
        <f t="shared" si="13"/>
        <v>8</v>
      </c>
      <c r="D17" t="str">
        <f t="shared" si="14"/>
        <v>-</v>
      </c>
      <c r="E17" t="str">
        <f t="shared" si="15"/>
        <v>K</v>
      </c>
      <c r="F17" t="s">
        <v>99</v>
      </c>
      <c r="G17" t="s">
        <v>495</v>
      </c>
      <c r="H17" t="s">
        <v>370</v>
      </c>
      <c r="I17" t="s">
        <v>316</v>
      </c>
      <c r="J17">
        <v>19</v>
      </c>
      <c r="K17" t="s">
        <v>104</v>
      </c>
      <c r="L17" t="s">
        <v>104</v>
      </c>
      <c r="M17" t="s">
        <v>47</v>
      </c>
      <c r="N17" s="213" t="s">
        <v>47</v>
      </c>
      <c r="O17" t="s">
        <v>225</v>
      </c>
      <c r="P17" s="213" t="s">
        <v>225</v>
      </c>
      <c r="Q17">
        <v>1</v>
      </c>
      <c r="R17">
        <v>3</v>
      </c>
      <c r="S17">
        <v>1</v>
      </c>
      <c r="T17">
        <v>2</v>
      </c>
      <c r="U17" s="213">
        <v>1</v>
      </c>
      <c r="V17">
        <v>5</v>
      </c>
      <c r="W17">
        <v>9</v>
      </c>
      <c r="X17">
        <v>2</v>
      </c>
      <c r="Y17">
        <v>4</v>
      </c>
      <c r="Z17" s="213">
        <v>4</v>
      </c>
      <c r="AA17">
        <v>1</v>
      </c>
      <c r="AB17">
        <v>7</v>
      </c>
      <c r="AC17">
        <v>1</v>
      </c>
      <c r="AD17" t="s">
        <v>41</v>
      </c>
      <c r="AE17" t="s">
        <v>41</v>
      </c>
      <c r="AF17" t="s">
        <v>41</v>
      </c>
      <c r="AG17" t="s">
        <v>41</v>
      </c>
      <c r="AH17" t="s">
        <v>41</v>
      </c>
      <c r="AI17">
        <v>1</v>
      </c>
      <c r="AJ17">
        <v>2</v>
      </c>
      <c r="AK17" s="213">
        <v>1</v>
      </c>
      <c r="AL17">
        <v>8</v>
      </c>
      <c r="AM17">
        <v>9</v>
      </c>
      <c r="AN17" s="213">
        <v>10</v>
      </c>
      <c r="AO17" t="s">
        <v>41</v>
      </c>
      <c r="AP17" s="213" t="s">
        <v>45</v>
      </c>
      <c r="AQ17" s="6">
        <f t="shared" si="16"/>
        <v>-1.1666666666666667</v>
      </c>
      <c r="AR17" s="9" t="str">
        <f t="shared" si="17"/>
        <v>Minors</v>
      </c>
      <c r="AS17" s="6">
        <f t="shared" si="18"/>
        <v>3.1666666666666665</v>
      </c>
      <c r="AT17" s="6" t="str">
        <f t="shared" si="19"/>
        <v>Minors</v>
      </c>
      <c r="AU17" s="9">
        <f t="shared" si="20"/>
        <v>3.1666666666666665</v>
      </c>
      <c r="AV17" s="9" t="str">
        <f t="shared" si="21"/>
        <v>Minors</v>
      </c>
      <c r="AW17" s="53">
        <f t="shared" si="22"/>
        <v>0</v>
      </c>
      <c r="AX17" s="212">
        <f t="shared" si="23"/>
        <v>0</v>
      </c>
      <c r="AY17" s="212">
        <f t="shared" si="24"/>
        <v>0</v>
      </c>
      <c r="AZ17" s="212">
        <f t="shared" si="25"/>
        <v>0</v>
      </c>
      <c r="BA17" s="212">
        <f t="shared" si="26"/>
        <v>0</v>
      </c>
      <c r="BB17" s="212">
        <f t="shared" si="27"/>
        <v>0</v>
      </c>
      <c r="BC17" s="212">
        <f t="shared" si="28"/>
        <v>0</v>
      </c>
      <c r="BD17" s="212">
        <f t="shared" si="29"/>
        <v>0</v>
      </c>
      <c r="BE17" s="213">
        <f t="shared" si="30"/>
        <v>0</v>
      </c>
      <c r="BF17" s="53">
        <f t="shared" si="31"/>
        <v>0</v>
      </c>
      <c r="BG17" s="212">
        <f t="shared" si="32"/>
        <v>0</v>
      </c>
      <c r="BH17" s="212">
        <f t="shared" si="33"/>
        <v>0</v>
      </c>
      <c r="BI17" s="212">
        <f t="shared" si="34"/>
        <v>0</v>
      </c>
      <c r="BJ17" s="212">
        <f t="shared" si="35"/>
        <v>0</v>
      </c>
      <c r="BK17" s="212">
        <f t="shared" si="36"/>
        <v>0</v>
      </c>
      <c r="BL17" s="212">
        <f t="shared" si="37"/>
        <v>0</v>
      </c>
      <c r="BM17" s="212">
        <f t="shared" si="38"/>
        <v>1</v>
      </c>
      <c r="BN17" s="213">
        <f t="shared" si="39"/>
        <v>1</v>
      </c>
      <c r="BO17" s="213">
        <f t="shared" si="40"/>
        <v>5</v>
      </c>
      <c r="BP17" s="7">
        <f t="shared" si="41"/>
        <v>0</v>
      </c>
      <c r="BQ17" t="str">
        <f t="shared" si="42"/>
        <v/>
      </c>
      <c r="BR17" s="91">
        <f>IF(Q17="-","-",VLOOKUP($G17,CTBat!$G$10:$AN$184,BR$9,FALSE)-Q17)</f>
        <v>2</v>
      </c>
      <c r="BS17" s="91">
        <f>IF(R17="-","-",VLOOKUP($G17,CTBat!$G$10:$AN$184,BS$9,FALSE)-R17)</f>
        <v>3</v>
      </c>
      <c r="BT17" s="91">
        <f>IF(S17="-","-",VLOOKUP($G17,CTBat!$G$10:$AN$184,BT$9,FALSE)-S17)</f>
        <v>0</v>
      </c>
      <c r="BU17" s="91">
        <f>IF(T17="-","-",VLOOKUP($G17,CTBat!$G$10:$AN$184,BU$9,FALSE)-T17)</f>
        <v>0</v>
      </c>
      <c r="BV17" s="91">
        <f>IF(U17="-","-",VLOOKUP($G17,CTBat!$G$10:$AN$184,BV$9,FALSE)-U17)</f>
        <v>0</v>
      </c>
      <c r="BW17" s="91">
        <f>IF(V17="-","-",VLOOKUP($G17,CTBat!$G$10:$AN$184,BW$9,FALSE)-V17)</f>
        <v>-1</v>
      </c>
      <c r="BX17" s="91">
        <f>IF(W17="-","-",VLOOKUP($G17,CTBat!$G$10:$AN$184,BX$9,FALSE)-W17)</f>
        <v>-1</v>
      </c>
      <c r="BY17" s="91">
        <f>IF(X17="-","-",VLOOKUP($G17,CTBat!$G$10:$AN$184,BY$9,FALSE)-X17)</f>
        <v>0</v>
      </c>
      <c r="BZ17" s="91">
        <f>IF(Y17="-","-",VLOOKUP($G17,CTBat!$G$10:$AN$184,BZ$9,FALSE)-Y17)</f>
        <v>0</v>
      </c>
      <c r="CA17" s="91">
        <f>IF(Z17="-","-",VLOOKUP($G17,CTBat!$G$10:$AN$184,CA$9,FALSE)-Z17)</f>
        <v>-1</v>
      </c>
      <c r="CB17" s="91">
        <f>IF(AA17="-","-",VLOOKUP($G17,CTBat!$G$10:$AN$184,CB$9,FALSE)-AA17)</f>
        <v>0</v>
      </c>
      <c r="CC17" s="91">
        <f>IF(AB17="-","-",VLOOKUP($G17,CTBat!$G$10:$AN$184,CC$9,FALSE)-AB17)</f>
        <v>0</v>
      </c>
      <c r="CD17" s="91">
        <f>IF(AC17="-","-",VLOOKUP($G17,CTBat!$G$10:$AN$184,CD$9,FALSE)-AC17)</f>
        <v>0</v>
      </c>
      <c r="CE17" s="91" t="str">
        <f>IF(AD17="-","-",VLOOKUP($G17,CTBat!$G$10:$AN$184,CE$9,FALSE)-AD17)</f>
        <v>-</v>
      </c>
      <c r="CF17" s="91" t="str">
        <f>IF(AE17="-","-",VLOOKUP($G17,CTBat!$G$10:$AN$184,CF$9,FALSE)-AE17)</f>
        <v>-</v>
      </c>
      <c r="CG17" s="91" t="str">
        <f>IF(AF17="-","-",VLOOKUP($G17,CTBat!$G$10:$AN$184,CG$9,FALSE)-AF17)</f>
        <v>-</v>
      </c>
      <c r="CH17" s="91" t="str">
        <f>IF(AG17="-","-",VLOOKUP($G17,CTBat!$G$10:$AN$184,CH$9,FALSE)-AG17)</f>
        <v>-</v>
      </c>
      <c r="CI17" s="91" t="str">
        <f>IF(AH17="-","-",VLOOKUP($G17,CTBat!$G$10:$AN$184,CI$9,FALSE)-AH17)</f>
        <v>-</v>
      </c>
      <c r="CJ17" s="91">
        <f>IF(AI17="-","-",VLOOKUP($G17,CTBat!$G$10:$AN$184,CJ$9,FALSE)-AI17)</f>
        <v>0</v>
      </c>
      <c r="CK17" s="91">
        <f>IF(AJ17="-","-",VLOOKUP($G17,CTBat!$G$10:$AN$184,CK$9,FALSE)-AJ17)</f>
        <v>1</v>
      </c>
      <c r="CL17" s="91">
        <f>IF(AK17="-","-",VLOOKUP($G17,CTBat!$G$10:$AN$184,CL$9,FALSE)-AK17)</f>
        <v>0</v>
      </c>
      <c r="CM17" s="91">
        <f>IF(AL17="-","-",VLOOKUP($G17,CTBat!$G$10:$AN$184,CM$9,FALSE)-AL17)</f>
        <v>0</v>
      </c>
      <c r="CN17" s="91">
        <f>IF(AM17="-","-",VLOOKUP($G17,CTBat!$G$10:$AN$184,CN$9,FALSE)-AM17)</f>
        <v>1</v>
      </c>
      <c r="CO17" s="91">
        <f>IF(AN17="-","-",VLOOKUP($G17,CTBat!$G$10:$AN$184,CO$9,FALSE)-AN17)</f>
        <v>0</v>
      </c>
      <c r="CP17" s="91">
        <f t="shared" si="43"/>
        <v>5</v>
      </c>
      <c r="CQ17" s="91">
        <f t="shared" si="44"/>
        <v>-3</v>
      </c>
      <c r="CR17" s="91">
        <f t="shared" si="45"/>
        <v>1</v>
      </c>
      <c r="CS17" s="91">
        <f t="shared" si="46"/>
        <v>1</v>
      </c>
      <c r="CT17" s="91">
        <f t="shared" si="47"/>
        <v>4</v>
      </c>
    </row>
    <row r="18" spans="1:98">
      <c r="C18">
        <f t="shared" si="13"/>
        <v>7</v>
      </c>
      <c r="D18" t="str">
        <f t="shared" si="14"/>
        <v>-</v>
      </c>
      <c r="E18" t="str">
        <f t="shared" si="15"/>
        <v>K</v>
      </c>
      <c r="F18" t="s">
        <v>98</v>
      </c>
      <c r="G18" t="s">
        <v>465</v>
      </c>
      <c r="H18" t="s">
        <v>373</v>
      </c>
      <c r="I18" t="s">
        <v>210</v>
      </c>
      <c r="J18">
        <v>22</v>
      </c>
      <c r="K18" t="s">
        <v>104</v>
      </c>
      <c r="L18" t="s">
        <v>104</v>
      </c>
      <c r="M18" t="s">
        <v>47</v>
      </c>
      <c r="N18" s="3" t="s">
        <v>42</v>
      </c>
      <c r="O18" t="s">
        <v>225</v>
      </c>
      <c r="P18" s="3" t="s">
        <v>223</v>
      </c>
      <c r="Q18">
        <v>4</v>
      </c>
      <c r="R18">
        <v>3</v>
      </c>
      <c r="S18">
        <v>4</v>
      </c>
      <c r="T18">
        <v>5</v>
      </c>
      <c r="U18" s="3">
        <v>2</v>
      </c>
      <c r="V18">
        <v>6</v>
      </c>
      <c r="W18">
        <v>5</v>
      </c>
      <c r="X18">
        <v>8</v>
      </c>
      <c r="Y18">
        <v>6</v>
      </c>
      <c r="Z18" s="3">
        <v>4</v>
      </c>
      <c r="AA18">
        <v>1</v>
      </c>
      <c r="AB18">
        <v>5</v>
      </c>
      <c r="AC18">
        <v>1</v>
      </c>
      <c r="AD18" t="s">
        <v>41</v>
      </c>
      <c r="AE18" t="s">
        <v>41</v>
      </c>
      <c r="AF18" t="s">
        <v>41</v>
      </c>
      <c r="AG18" t="s">
        <v>41</v>
      </c>
      <c r="AH18" t="s">
        <v>41</v>
      </c>
      <c r="AI18">
        <v>8</v>
      </c>
      <c r="AJ18" t="s">
        <v>41</v>
      </c>
      <c r="AK18" s="3">
        <v>3</v>
      </c>
      <c r="AL18">
        <v>5</v>
      </c>
      <c r="AM18">
        <v>8</v>
      </c>
      <c r="AN18" s="3">
        <v>10</v>
      </c>
      <c r="AO18" s="85" t="s">
        <v>41</v>
      </c>
      <c r="AP18" s="3">
        <v>0</v>
      </c>
      <c r="AQ18" s="6">
        <f t="shared" si="16"/>
        <v>3.333333333333333</v>
      </c>
      <c r="AR18" s="9" t="str">
        <f t="shared" si="17"/>
        <v>Minors</v>
      </c>
      <c r="AS18" s="6">
        <f t="shared" si="18"/>
        <v>7.416666666666667</v>
      </c>
      <c r="AT18" s="6" t="str">
        <f t="shared" si="19"/>
        <v>GoodReg</v>
      </c>
      <c r="AU18" s="9">
        <f t="shared" si="20"/>
        <v>7.416666666666667</v>
      </c>
      <c r="AV18" s="9" t="str">
        <f t="shared" si="21"/>
        <v>GoodReg</v>
      </c>
      <c r="AW18" s="53">
        <f t="shared" si="22"/>
        <v>0</v>
      </c>
      <c r="AX18" s="5">
        <f t="shared" si="23"/>
        <v>0</v>
      </c>
      <c r="AY18" s="5">
        <f t="shared" si="24"/>
        <v>0</v>
      </c>
      <c r="AZ18" s="5">
        <f t="shared" si="25"/>
        <v>0</v>
      </c>
      <c r="BA18" s="5">
        <f t="shared" si="26"/>
        <v>0</v>
      </c>
      <c r="BB18" s="5">
        <f t="shared" si="27"/>
        <v>0</v>
      </c>
      <c r="BC18" s="5">
        <f t="shared" si="28"/>
        <v>0</v>
      </c>
      <c r="BD18" s="5">
        <f t="shared" si="29"/>
        <v>0</v>
      </c>
      <c r="BE18" s="3">
        <f t="shared" si="30"/>
        <v>0</v>
      </c>
      <c r="BF18" s="53">
        <f t="shared" si="31"/>
        <v>0</v>
      </c>
      <c r="BG18" s="5">
        <f t="shared" si="32"/>
        <v>0</v>
      </c>
      <c r="BH18" s="5">
        <f t="shared" si="33"/>
        <v>0</v>
      </c>
      <c r="BI18" s="5">
        <f t="shared" si="34"/>
        <v>0</v>
      </c>
      <c r="BJ18" s="5">
        <f t="shared" si="35"/>
        <v>0</v>
      </c>
      <c r="BK18" s="5">
        <f t="shared" si="36"/>
        <v>0</v>
      </c>
      <c r="BL18" s="5">
        <f t="shared" si="37"/>
        <v>1</v>
      </c>
      <c r="BM18" s="5">
        <f t="shared" si="38"/>
        <v>1</v>
      </c>
      <c r="BN18" s="3">
        <f t="shared" si="39"/>
        <v>1</v>
      </c>
      <c r="BO18" s="3">
        <f t="shared" si="40"/>
        <v>3</v>
      </c>
      <c r="BP18" s="7">
        <f t="shared" si="41"/>
        <v>2</v>
      </c>
      <c r="BQ18" t="str">
        <f t="shared" si="42"/>
        <v/>
      </c>
      <c r="BR18" s="91">
        <f>IF(Q18="-","-",VLOOKUP($G18,CTBat!$G$10:$AN$184,BR$9,FALSE)-Q18)</f>
        <v>1</v>
      </c>
      <c r="BS18" s="91">
        <f>IF(R18="-","-",VLOOKUP($G18,CTBat!$G$10:$AN$184,BS$9,FALSE)-R18)</f>
        <v>1</v>
      </c>
      <c r="BT18" s="91">
        <f>IF(S18="-","-",VLOOKUP($G18,CTBat!$G$10:$AN$184,BT$9,FALSE)-S18)</f>
        <v>1</v>
      </c>
      <c r="BU18" s="91">
        <f>IF(T18="-","-",VLOOKUP($G18,CTBat!$G$10:$AN$184,BU$9,FALSE)-T18)</f>
        <v>0</v>
      </c>
      <c r="BV18" s="91">
        <f>IF(U18="-","-",VLOOKUP($G18,CTBat!$G$10:$AN$184,BV$9,FALSE)-U18)</f>
        <v>0</v>
      </c>
      <c r="BW18" s="91">
        <f>IF(V18="-","-",VLOOKUP($G18,CTBat!$G$10:$AN$184,BW$9,FALSE)-V18)</f>
        <v>0</v>
      </c>
      <c r="BX18" s="91">
        <f>IF(W18="-","-",VLOOKUP($G18,CTBat!$G$10:$AN$184,BX$9,FALSE)-W18)</f>
        <v>0</v>
      </c>
      <c r="BY18" s="91">
        <f>IF(X18="-","-",VLOOKUP($G18,CTBat!$G$10:$AN$184,BY$9,FALSE)-X18)</f>
        <v>-1</v>
      </c>
      <c r="BZ18" s="91">
        <f>IF(Y18="-","-",VLOOKUP($G18,CTBat!$G$10:$AN$184,BZ$9,FALSE)-Y18)</f>
        <v>2</v>
      </c>
      <c r="CA18" s="91">
        <f>IF(Z18="-","-",VLOOKUP($G18,CTBat!$G$10:$AN$184,CA$9,FALSE)-Z18)</f>
        <v>-1</v>
      </c>
      <c r="CB18" s="91">
        <f>IF(AA18="-","-",VLOOKUP($G18,CTBat!$G$10:$AN$184,CB$9,FALSE)-AA18)</f>
        <v>0</v>
      </c>
      <c r="CC18" s="91">
        <f>IF(AB18="-","-",VLOOKUP($G18,CTBat!$G$10:$AN$184,CC$9,FALSE)-AB18)</f>
        <v>0</v>
      </c>
      <c r="CD18" s="91">
        <f>IF(AC18="-","-",VLOOKUP($G18,CTBat!$G$10:$AN$184,CD$9,FALSE)-AC18)</f>
        <v>0</v>
      </c>
      <c r="CE18" s="91" t="str">
        <f>IF(AD18="-","-",VLOOKUP($G18,CTBat!$G$10:$AN$184,CE$9,FALSE)-AD18)</f>
        <v>-</v>
      </c>
      <c r="CF18" s="91" t="str">
        <f>IF(AE18="-","-",VLOOKUP($G18,CTBat!$G$10:$AN$184,CF$9,FALSE)-AE18)</f>
        <v>-</v>
      </c>
      <c r="CG18" s="91" t="str">
        <f>IF(AF18="-","-",VLOOKUP($G18,CTBat!$G$10:$AN$184,CG$9,FALSE)-AF18)</f>
        <v>-</v>
      </c>
      <c r="CH18" s="91" t="str">
        <f>IF(AG18="-","-",VLOOKUP($G18,CTBat!$G$10:$AN$184,CH$9,FALSE)-AG18)</f>
        <v>-</v>
      </c>
      <c r="CI18" s="91" t="str">
        <f>IF(AH18="-","-",VLOOKUP($G18,CTBat!$G$10:$AN$184,CI$9,FALSE)-AH18)</f>
        <v>-</v>
      </c>
      <c r="CJ18" s="91">
        <f>IF(AI18="-","-",VLOOKUP($G18,CTBat!$G$10:$AN$184,CJ$9,FALSE)-AI18)</f>
        <v>0</v>
      </c>
      <c r="CK18" s="91" t="str">
        <f>IF(AJ18="-","-",VLOOKUP($G18,CTBat!$G$10:$AN$184,CK$9,FALSE)-AJ18)</f>
        <v>-</v>
      </c>
      <c r="CL18" s="91">
        <f>IF(AK18="-","-",VLOOKUP($G18,CTBat!$G$10:$AN$184,CL$9,FALSE)-AK18)</f>
        <v>0</v>
      </c>
      <c r="CM18" s="91">
        <f>IF(AL18="-","-",VLOOKUP($G18,CTBat!$G$10:$AN$184,CM$9,FALSE)-AL18)</f>
        <v>0</v>
      </c>
      <c r="CN18" s="91">
        <f>IF(AM18="-","-",VLOOKUP($G18,CTBat!$G$10:$AN$184,CN$9,FALSE)-AM18)</f>
        <v>0</v>
      </c>
      <c r="CO18" s="91">
        <f>IF(AN18="-","-",VLOOKUP($G18,CTBat!$G$10:$AN$184,CO$9,FALSE)-AN18)</f>
        <v>0</v>
      </c>
      <c r="CP18" s="91">
        <f t="shared" si="43"/>
        <v>3</v>
      </c>
      <c r="CQ18" s="91">
        <f t="shared" si="44"/>
        <v>0</v>
      </c>
      <c r="CR18" s="91">
        <f t="shared" si="45"/>
        <v>0</v>
      </c>
      <c r="CS18" s="91">
        <f t="shared" si="46"/>
        <v>0</v>
      </c>
      <c r="CT18" s="91">
        <f t="shared" si="47"/>
        <v>3</v>
      </c>
    </row>
    <row r="19" spans="1:98">
      <c r="C19">
        <f t="shared" si="13"/>
        <v>2</v>
      </c>
      <c r="D19">
        <f t="shared" si="14"/>
        <v>2</v>
      </c>
      <c r="E19" t="str">
        <f t="shared" si="15"/>
        <v>K</v>
      </c>
      <c r="F19" t="s">
        <v>99</v>
      </c>
      <c r="G19" t="s">
        <v>240</v>
      </c>
      <c r="H19" t="s">
        <v>25</v>
      </c>
      <c r="I19" t="s">
        <v>207</v>
      </c>
      <c r="J19">
        <v>26</v>
      </c>
      <c r="K19" t="s">
        <v>103</v>
      </c>
      <c r="L19" t="s">
        <v>103</v>
      </c>
      <c r="M19" t="s">
        <v>47</v>
      </c>
      <c r="N19" s="215" t="s">
        <v>47</v>
      </c>
      <c r="O19" t="s">
        <v>225</v>
      </c>
      <c r="P19" s="215" t="s">
        <v>223</v>
      </c>
      <c r="Q19">
        <v>6</v>
      </c>
      <c r="R19">
        <v>5</v>
      </c>
      <c r="S19">
        <v>6</v>
      </c>
      <c r="T19">
        <v>7</v>
      </c>
      <c r="U19" s="215">
        <v>5</v>
      </c>
      <c r="V19">
        <v>6</v>
      </c>
      <c r="W19">
        <v>5</v>
      </c>
      <c r="X19">
        <v>6</v>
      </c>
      <c r="Y19">
        <v>7</v>
      </c>
      <c r="Z19" s="215">
        <v>6</v>
      </c>
      <c r="AA19">
        <v>1</v>
      </c>
      <c r="AB19">
        <v>6</v>
      </c>
      <c r="AC19">
        <v>1</v>
      </c>
      <c r="AD19" t="s">
        <v>41</v>
      </c>
      <c r="AE19" t="s">
        <v>41</v>
      </c>
      <c r="AF19" t="s">
        <v>41</v>
      </c>
      <c r="AG19" t="s">
        <v>41</v>
      </c>
      <c r="AH19" t="s">
        <v>41</v>
      </c>
      <c r="AI19">
        <v>8</v>
      </c>
      <c r="AJ19">
        <v>4</v>
      </c>
      <c r="AK19" s="215">
        <v>5</v>
      </c>
      <c r="AL19">
        <v>6</v>
      </c>
      <c r="AM19">
        <v>8</v>
      </c>
      <c r="AN19" s="215">
        <v>9</v>
      </c>
      <c r="AO19">
        <v>490000</v>
      </c>
      <c r="AP19" s="215" t="s">
        <v>45</v>
      </c>
      <c r="AQ19" s="6">
        <f t="shared" si="16"/>
        <v>6.833333333333333</v>
      </c>
      <c r="AR19" s="9" t="str">
        <f t="shared" si="17"/>
        <v>GoodReg</v>
      </c>
      <c r="AS19" s="6">
        <f t="shared" si="18"/>
        <v>6.833333333333333</v>
      </c>
      <c r="AT19" s="6" t="str">
        <f t="shared" si="19"/>
        <v>GoodReg</v>
      </c>
      <c r="AU19" s="9">
        <f t="shared" si="20"/>
        <v>6.833333333333333</v>
      </c>
      <c r="AV19" s="9" t="str">
        <f t="shared" si="21"/>
        <v>GoodReg</v>
      </c>
      <c r="AW19" s="53">
        <f t="shared" si="22"/>
        <v>0</v>
      </c>
      <c r="AX19" s="214">
        <f t="shared" si="23"/>
        <v>1</v>
      </c>
      <c r="AY19" s="214">
        <f t="shared" si="24"/>
        <v>0</v>
      </c>
      <c r="AZ19" s="214">
        <f t="shared" si="25"/>
        <v>0</v>
      </c>
      <c r="BA19" s="214">
        <f t="shared" si="26"/>
        <v>0</v>
      </c>
      <c r="BB19" s="214">
        <f t="shared" si="27"/>
        <v>0</v>
      </c>
      <c r="BC19" s="214">
        <f t="shared" si="28"/>
        <v>1</v>
      </c>
      <c r="BD19" s="214">
        <f t="shared" si="29"/>
        <v>1</v>
      </c>
      <c r="BE19" s="215">
        <f t="shared" si="30"/>
        <v>1</v>
      </c>
      <c r="BF19" s="53">
        <f t="shared" si="31"/>
        <v>0</v>
      </c>
      <c r="BG19" s="214">
        <f t="shared" si="32"/>
        <v>1</v>
      </c>
      <c r="BH19" s="214">
        <f t="shared" si="33"/>
        <v>0</v>
      </c>
      <c r="BI19" s="214">
        <f t="shared" si="34"/>
        <v>0</v>
      </c>
      <c r="BJ19" s="214">
        <f t="shared" si="35"/>
        <v>0</v>
      </c>
      <c r="BK19" s="214">
        <f t="shared" si="36"/>
        <v>0</v>
      </c>
      <c r="BL19" s="214">
        <f t="shared" si="37"/>
        <v>1</v>
      </c>
      <c r="BM19" s="214">
        <f t="shared" si="38"/>
        <v>1</v>
      </c>
      <c r="BN19" s="215">
        <f t="shared" si="39"/>
        <v>1</v>
      </c>
      <c r="BO19" s="215">
        <f t="shared" si="40"/>
        <v>3</v>
      </c>
      <c r="BP19" s="7">
        <f t="shared" si="41"/>
        <v>2</v>
      </c>
      <c r="BQ19" t="str">
        <f t="shared" si="42"/>
        <v/>
      </c>
      <c r="BR19" s="91">
        <f>IF(Q19="-","-",VLOOKUP($G19,CTBat!$G$10:$AN$184,BR$9,FALSE)-Q19)</f>
        <v>0</v>
      </c>
      <c r="BS19" s="91">
        <f>IF(R19="-","-",VLOOKUP($G19,CTBat!$G$10:$AN$184,BS$9,FALSE)-R19)</f>
        <v>0</v>
      </c>
      <c r="BT19" s="91">
        <f>IF(S19="-","-",VLOOKUP($G19,CTBat!$G$10:$AN$184,BT$9,FALSE)-S19)</f>
        <v>0</v>
      </c>
      <c r="BU19" s="91">
        <f>IF(T19="-","-",VLOOKUP($G19,CTBat!$G$10:$AN$184,BU$9,FALSE)-T19)</f>
        <v>0</v>
      </c>
      <c r="BV19" s="91">
        <f>IF(U19="-","-",VLOOKUP($G19,CTBat!$G$10:$AN$184,BV$9,FALSE)-U19)</f>
        <v>1</v>
      </c>
      <c r="BW19" s="91">
        <f>IF(V19="-","-",VLOOKUP($G19,CTBat!$G$10:$AN$184,BW$9,FALSE)-V19)</f>
        <v>0</v>
      </c>
      <c r="BX19" s="91">
        <f>IF(W19="-","-",VLOOKUP($G19,CTBat!$G$10:$AN$184,BX$9,FALSE)-W19)</f>
        <v>0</v>
      </c>
      <c r="BY19" s="91">
        <f>IF(X19="-","-",VLOOKUP($G19,CTBat!$G$10:$AN$184,BY$9,FALSE)-X19)</f>
        <v>0</v>
      </c>
      <c r="BZ19" s="91">
        <f>IF(Y19="-","-",VLOOKUP($G19,CTBat!$G$10:$AN$184,BZ$9,FALSE)-Y19)</f>
        <v>0</v>
      </c>
      <c r="CA19" s="91">
        <f>IF(Z19="-","-",VLOOKUP($G19,CTBat!$G$10:$AN$184,CA$9,FALSE)-Z19)</f>
        <v>0</v>
      </c>
      <c r="CB19" s="91">
        <f>IF(AA19="-","-",VLOOKUP($G19,CTBat!$G$10:$AN$184,CB$9,FALSE)-AA19)</f>
        <v>0</v>
      </c>
      <c r="CC19" s="91">
        <f>IF(AB19="-","-",VLOOKUP($G19,CTBat!$G$10:$AN$184,CC$9,FALSE)-AB19)</f>
        <v>0</v>
      </c>
      <c r="CD19" s="91">
        <f>IF(AC19="-","-",VLOOKUP($G19,CTBat!$G$10:$AN$184,CD$9,FALSE)-AC19)</f>
        <v>0</v>
      </c>
      <c r="CE19" s="91" t="str">
        <f>IF(AD19="-","-",VLOOKUP($G19,CTBat!$G$10:$AN$184,CE$9,FALSE)-AD19)</f>
        <v>-</v>
      </c>
      <c r="CF19" s="91" t="str">
        <f>IF(AE19="-","-",VLOOKUP($G19,CTBat!$G$10:$AN$184,CF$9,FALSE)-AE19)</f>
        <v>-</v>
      </c>
      <c r="CG19" s="91" t="str">
        <f>IF(AF19="-","-",VLOOKUP($G19,CTBat!$G$10:$AN$184,CG$9,FALSE)-AF19)</f>
        <v>-</v>
      </c>
      <c r="CH19" s="91" t="str">
        <f>IF(AG19="-","-",VLOOKUP($G19,CTBat!$G$10:$AN$184,CH$9,FALSE)-AG19)</f>
        <v>-</v>
      </c>
      <c r="CI19" s="91" t="str">
        <f>IF(AH19="-","-",VLOOKUP($G19,CTBat!$G$10:$AN$184,CI$9,FALSE)-AH19)</f>
        <v>-</v>
      </c>
      <c r="CJ19" s="91">
        <f>IF(AI19="-","-",VLOOKUP($G19,CTBat!$G$10:$AN$184,CJ$9,FALSE)-AI19)</f>
        <v>0</v>
      </c>
      <c r="CK19" s="91">
        <f>IF(AJ19="-","-",VLOOKUP($G19,CTBat!$G$10:$AN$184,CK$9,FALSE)-AJ19)</f>
        <v>0</v>
      </c>
      <c r="CL19" s="91">
        <f>IF(AK19="-","-",VLOOKUP($G19,CTBat!$G$10:$AN$184,CL$9,FALSE)-AK19)</f>
        <v>2</v>
      </c>
      <c r="CM19" s="91">
        <f>IF(AL19="-","-",VLOOKUP($G19,CTBat!$G$10:$AN$184,CM$9,FALSE)-AL19)</f>
        <v>0</v>
      </c>
      <c r="CN19" s="91">
        <f>IF(AM19="-","-",VLOOKUP($G19,CTBat!$G$10:$AN$184,CN$9,FALSE)-AM19)</f>
        <v>0</v>
      </c>
      <c r="CO19" s="91">
        <f>IF(AN19="-","-",VLOOKUP($G19,CTBat!$G$10:$AN$184,CO$9,FALSE)-AN19)</f>
        <v>0</v>
      </c>
      <c r="CP19" s="91">
        <f t="shared" si="43"/>
        <v>1</v>
      </c>
      <c r="CQ19" s="91">
        <f t="shared" si="44"/>
        <v>0</v>
      </c>
      <c r="CR19" s="91">
        <f t="shared" si="45"/>
        <v>2</v>
      </c>
      <c r="CS19" s="91">
        <f t="shared" si="46"/>
        <v>0</v>
      </c>
      <c r="CT19" s="91">
        <f t="shared" si="47"/>
        <v>3</v>
      </c>
    </row>
    <row r="20" spans="1:98">
      <c r="C20">
        <f t="shared" si="13"/>
        <v>2</v>
      </c>
      <c r="D20">
        <f t="shared" si="14"/>
        <v>6</v>
      </c>
      <c r="E20" t="str">
        <f t="shared" si="15"/>
        <v>K</v>
      </c>
      <c r="F20" t="s">
        <v>98</v>
      </c>
      <c r="G20" t="s">
        <v>388</v>
      </c>
      <c r="H20" t="s">
        <v>371</v>
      </c>
      <c r="I20" t="s">
        <v>208</v>
      </c>
      <c r="J20">
        <v>24</v>
      </c>
      <c r="K20" t="s">
        <v>103</v>
      </c>
      <c r="L20" t="s">
        <v>104</v>
      </c>
      <c r="M20" t="s">
        <v>47</v>
      </c>
      <c r="N20" s="3" t="s">
        <v>42</v>
      </c>
      <c r="O20" t="s">
        <v>225</v>
      </c>
      <c r="P20" s="3" t="s">
        <v>224</v>
      </c>
      <c r="Q20">
        <v>7</v>
      </c>
      <c r="R20">
        <v>8</v>
      </c>
      <c r="S20">
        <v>4</v>
      </c>
      <c r="T20">
        <v>3</v>
      </c>
      <c r="U20" s="3">
        <v>5</v>
      </c>
      <c r="V20">
        <v>8</v>
      </c>
      <c r="W20">
        <v>8</v>
      </c>
      <c r="X20">
        <v>5</v>
      </c>
      <c r="Y20">
        <v>5</v>
      </c>
      <c r="Z20" s="3">
        <v>6</v>
      </c>
      <c r="AA20">
        <v>1</v>
      </c>
      <c r="AB20">
        <v>5</v>
      </c>
      <c r="AC20">
        <v>1</v>
      </c>
      <c r="AD20" t="s">
        <v>41</v>
      </c>
      <c r="AE20" t="s">
        <v>41</v>
      </c>
      <c r="AF20" t="s">
        <v>41</v>
      </c>
      <c r="AG20" t="s">
        <v>41</v>
      </c>
      <c r="AH20" t="s">
        <v>41</v>
      </c>
      <c r="AI20">
        <v>7</v>
      </c>
      <c r="AJ20">
        <v>3</v>
      </c>
      <c r="AK20" s="3">
        <v>3</v>
      </c>
      <c r="AL20">
        <v>4</v>
      </c>
      <c r="AM20">
        <v>6</v>
      </c>
      <c r="AN20" s="3">
        <v>5</v>
      </c>
      <c r="AO20" s="85" t="s">
        <v>41</v>
      </c>
      <c r="AP20" s="3">
        <v>0</v>
      </c>
      <c r="AQ20" s="6">
        <f t="shared" si="16"/>
        <v>4.666666666666667</v>
      </c>
      <c r="AR20" s="9" t="str">
        <f t="shared" si="17"/>
        <v>Bench</v>
      </c>
      <c r="AS20" s="6">
        <f t="shared" si="18"/>
        <v>6.5</v>
      </c>
      <c r="AT20" s="6" t="str">
        <f t="shared" si="19"/>
        <v>Reg</v>
      </c>
      <c r="AU20" s="9">
        <f t="shared" si="20"/>
        <v>5.666666666666667</v>
      </c>
      <c r="AV20" s="9" t="str">
        <f t="shared" si="21"/>
        <v>Reg</v>
      </c>
      <c r="AW20" s="53">
        <f t="shared" si="22"/>
        <v>0</v>
      </c>
      <c r="AX20" s="5">
        <f t="shared" si="23"/>
        <v>0</v>
      </c>
      <c r="AY20" s="5">
        <f t="shared" si="24"/>
        <v>0</v>
      </c>
      <c r="AZ20" s="5">
        <f t="shared" si="25"/>
        <v>0</v>
      </c>
      <c r="BA20" s="5">
        <f t="shared" si="26"/>
        <v>0</v>
      </c>
      <c r="BB20" s="5">
        <f t="shared" si="27"/>
        <v>1</v>
      </c>
      <c r="BC20" s="5">
        <f t="shared" si="28"/>
        <v>1</v>
      </c>
      <c r="BD20" s="5">
        <f t="shared" si="29"/>
        <v>1</v>
      </c>
      <c r="BE20" s="3">
        <f t="shared" si="30"/>
        <v>1</v>
      </c>
      <c r="BF20" s="53">
        <f t="shared" si="31"/>
        <v>0</v>
      </c>
      <c r="BG20" s="5">
        <f t="shared" si="32"/>
        <v>1</v>
      </c>
      <c r="BH20" s="5">
        <f t="shared" si="33"/>
        <v>0</v>
      </c>
      <c r="BI20" s="5">
        <f t="shared" si="34"/>
        <v>0</v>
      </c>
      <c r="BJ20" s="5">
        <f t="shared" si="35"/>
        <v>0</v>
      </c>
      <c r="BK20" s="5">
        <f t="shared" si="36"/>
        <v>1</v>
      </c>
      <c r="BL20" s="5">
        <f t="shared" si="37"/>
        <v>1</v>
      </c>
      <c r="BM20" s="5">
        <f t="shared" si="38"/>
        <v>1</v>
      </c>
      <c r="BN20" s="3">
        <f t="shared" si="39"/>
        <v>1</v>
      </c>
      <c r="BO20" s="3">
        <f t="shared" si="40"/>
        <v>0</v>
      </c>
      <c r="BP20" s="7">
        <f t="shared" si="41"/>
        <v>2</v>
      </c>
      <c r="BQ20" t="str">
        <f t="shared" si="42"/>
        <v/>
      </c>
      <c r="BR20" s="91">
        <f>IF(Q20="-","-",VLOOKUP($G20,CTBat!$G$10:$AN$184,BR$9,FALSE)-Q20)</f>
        <v>1</v>
      </c>
      <c r="BS20" s="91">
        <f>IF(R20="-","-",VLOOKUP($G20,CTBat!$G$10:$AN$184,BS$9,FALSE)-R20)</f>
        <v>0</v>
      </c>
      <c r="BT20" s="91">
        <f>IF(S20="-","-",VLOOKUP($G20,CTBat!$G$10:$AN$184,BT$9,FALSE)-S20)</f>
        <v>0</v>
      </c>
      <c r="BU20" s="91">
        <f>IF(T20="-","-",VLOOKUP($G20,CTBat!$G$10:$AN$184,BU$9,FALSE)-T20)</f>
        <v>1</v>
      </c>
      <c r="BV20" s="91">
        <f>IF(U20="-","-",VLOOKUP($G20,CTBat!$G$10:$AN$184,BV$9,FALSE)-U20)</f>
        <v>1</v>
      </c>
      <c r="BW20" s="91">
        <f>IF(V20="-","-",VLOOKUP($G20,CTBat!$G$10:$AN$184,BW$9,FALSE)-V20)</f>
        <v>0</v>
      </c>
      <c r="BX20" s="91">
        <f>IF(W20="-","-",VLOOKUP($G20,CTBat!$G$10:$AN$184,BX$9,FALSE)-W20)</f>
        <v>0</v>
      </c>
      <c r="BY20" s="91">
        <f>IF(X20="-","-",VLOOKUP($G20,CTBat!$G$10:$AN$184,BY$9,FALSE)-X20)</f>
        <v>0</v>
      </c>
      <c r="BZ20" s="91">
        <f>IF(Y20="-","-",VLOOKUP($G20,CTBat!$G$10:$AN$184,BZ$9,FALSE)-Y20)</f>
        <v>0</v>
      </c>
      <c r="CA20" s="91">
        <f>IF(Z20="-","-",VLOOKUP($G20,CTBat!$G$10:$AN$184,CA$9,FALSE)-Z20)</f>
        <v>0</v>
      </c>
      <c r="CB20" s="91">
        <f>IF(AA20="-","-",VLOOKUP($G20,CTBat!$G$10:$AN$184,CB$9,FALSE)-AA20)</f>
        <v>0</v>
      </c>
      <c r="CC20" s="91">
        <f>IF(AB20="-","-",VLOOKUP($G20,CTBat!$G$10:$AN$184,CC$9,FALSE)-AB20)</f>
        <v>0</v>
      </c>
      <c r="CD20" s="91">
        <f>IF(AC20="-","-",VLOOKUP($G20,CTBat!$G$10:$AN$184,CD$9,FALSE)-AC20)</f>
        <v>0</v>
      </c>
      <c r="CE20" s="91" t="str">
        <f>IF(AD20="-","-",VLOOKUP($G20,CTBat!$G$10:$AN$184,CE$9,FALSE)-AD20)</f>
        <v>-</v>
      </c>
      <c r="CF20" s="91" t="str">
        <f>IF(AE20="-","-",VLOOKUP($G20,CTBat!$G$10:$AN$184,CF$9,FALSE)-AE20)</f>
        <v>-</v>
      </c>
      <c r="CG20" s="91" t="str">
        <f>IF(AF20="-","-",VLOOKUP($G20,CTBat!$G$10:$AN$184,CG$9,FALSE)-AF20)</f>
        <v>-</v>
      </c>
      <c r="CH20" s="91" t="str">
        <f>IF(AG20="-","-",VLOOKUP($G20,CTBat!$G$10:$AN$184,CH$9,FALSE)-AG20)</f>
        <v>-</v>
      </c>
      <c r="CI20" s="91" t="str">
        <f>IF(AH20="-","-",VLOOKUP($G20,CTBat!$G$10:$AN$184,CI$9,FALSE)-AH20)</f>
        <v>-</v>
      </c>
      <c r="CJ20" s="91">
        <f>IF(AI20="-","-",VLOOKUP($G20,CTBat!$G$10:$AN$184,CJ$9,FALSE)-AI20)</f>
        <v>0</v>
      </c>
      <c r="CK20" s="91">
        <f>IF(AJ20="-","-",VLOOKUP($G20,CTBat!$G$10:$AN$184,CK$9,FALSE)-AJ20)</f>
        <v>0</v>
      </c>
      <c r="CL20" s="91">
        <f>IF(AK20="-","-",VLOOKUP($G20,CTBat!$G$10:$AN$184,CL$9,FALSE)-AK20)</f>
        <v>0</v>
      </c>
      <c r="CM20" s="91">
        <f>IF(AL20="-","-",VLOOKUP($G20,CTBat!$G$10:$AN$184,CM$9,FALSE)-AL20)</f>
        <v>0</v>
      </c>
      <c r="CN20" s="91">
        <f>IF(AM20="-","-",VLOOKUP($G20,CTBat!$G$10:$AN$184,CN$9,FALSE)-AM20)</f>
        <v>0</v>
      </c>
      <c r="CO20" s="91">
        <f>IF(AN20="-","-",VLOOKUP($G20,CTBat!$G$10:$AN$184,CO$9,FALSE)-AN20)</f>
        <v>0</v>
      </c>
      <c r="CP20" s="91">
        <f t="shared" si="43"/>
        <v>3</v>
      </c>
      <c r="CQ20" s="91">
        <f t="shared" si="44"/>
        <v>0</v>
      </c>
      <c r="CR20" s="91">
        <f t="shared" si="45"/>
        <v>0</v>
      </c>
      <c r="CS20" s="91">
        <f t="shared" si="46"/>
        <v>0</v>
      </c>
      <c r="CT20" s="91">
        <f t="shared" si="47"/>
        <v>3</v>
      </c>
    </row>
    <row r="21" spans="1:98">
      <c r="C21">
        <f t="shared" si="13"/>
        <v>6</v>
      </c>
      <c r="D21" t="str">
        <f t="shared" si="14"/>
        <v>-</v>
      </c>
      <c r="E21" t="str">
        <f t="shared" si="15"/>
        <v>K</v>
      </c>
      <c r="F21" t="s">
        <v>96</v>
      </c>
      <c r="G21" t="s">
        <v>467</v>
      </c>
      <c r="H21" t="s">
        <v>373</v>
      </c>
      <c r="I21" t="s">
        <v>210</v>
      </c>
      <c r="J21">
        <v>22</v>
      </c>
      <c r="K21" t="s">
        <v>104</v>
      </c>
      <c r="L21" t="s">
        <v>104</v>
      </c>
      <c r="M21" t="s">
        <v>47</v>
      </c>
      <c r="N21" s="213" t="s">
        <v>47</v>
      </c>
      <c r="O21" t="s">
        <v>225</v>
      </c>
      <c r="P21" s="213" t="s">
        <v>226</v>
      </c>
      <c r="Q21">
        <v>5</v>
      </c>
      <c r="R21">
        <v>4</v>
      </c>
      <c r="S21">
        <v>3</v>
      </c>
      <c r="T21">
        <v>4</v>
      </c>
      <c r="U21" s="213">
        <v>3</v>
      </c>
      <c r="V21">
        <v>7</v>
      </c>
      <c r="W21">
        <v>6</v>
      </c>
      <c r="X21">
        <v>3</v>
      </c>
      <c r="Y21">
        <v>4</v>
      </c>
      <c r="Z21" s="213">
        <v>6</v>
      </c>
      <c r="AA21">
        <v>9</v>
      </c>
      <c r="AB21">
        <v>8</v>
      </c>
      <c r="AC21">
        <v>1</v>
      </c>
      <c r="AD21" t="s">
        <v>41</v>
      </c>
      <c r="AE21">
        <v>6</v>
      </c>
      <c r="AF21">
        <v>5</v>
      </c>
      <c r="AG21">
        <v>8</v>
      </c>
      <c r="AH21">
        <v>4</v>
      </c>
      <c r="AI21">
        <v>6</v>
      </c>
      <c r="AJ21">
        <v>3</v>
      </c>
      <c r="AK21" s="213" t="s">
        <v>41</v>
      </c>
      <c r="AL21">
        <v>8</v>
      </c>
      <c r="AM21">
        <v>9</v>
      </c>
      <c r="AN21" s="213">
        <v>8</v>
      </c>
      <c r="AO21" s="85" t="s">
        <v>41</v>
      </c>
      <c r="AP21" s="213">
        <v>0</v>
      </c>
      <c r="AQ21" s="6">
        <f t="shared" si="16"/>
        <v>3.5</v>
      </c>
      <c r="AR21" s="9" t="str">
        <f t="shared" si="17"/>
        <v>Minors</v>
      </c>
      <c r="AS21" s="6">
        <f t="shared" si="18"/>
        <v>4.666666666666667</v>
      </c>
      <c r="AT21" s="6" t="str">
        <f t="shared" si="19"/>
        <v>Bench</v>
      </c>
      <c r="AU21" s="9">
        <f t="shared" si="20"/>
        <v>4.666666666666667</v>
      </c>
      <c r="AV21" s="9" t="str">
        <f t="shared" si="21"/>
        <v>Bench</v>
      </c>
      <c r="AW21" s="53">
        <f t="shared" si="22"/>
        <v>0</v>
      </c>
      <c r="AX21" s="212">
        <f t="shared" si="23"/>
        <v>0</v>
      </c>
      <c r="AY21" s="212">
        <f t="shared" si="24"/>
        <v>0</v>
      </c>
      <c r="AZ21" s="212">
        <f t="shared" si="25"/>
        <v>0</v>
      </c>
      <c r="BA21" s="212">
        <f t="shared" si="26"/>
        <v>0</v>
      </c>
      <c r="BB21" s="212">
        <f t="shared" si="27"/>
        <v>0</v>
      </c>
      <c r="BC21" s="212">
        <f t="shared" si="28"/>
        <v>0</v>
      </c>
      <c r="BD21" s="212">
        <f t="shared" si="29"/>
        <v>0</v>
      </c>
      <c r="BE21" s="213">
        <f t="shared" si="30"/>
        <v>0</v>
      </c>
      <c r="BF21" s="53">
        <f t="shared" si="31"/>
        <v>0</v>
      </c>
      <c r="BG21" s="212">
        <f t="shared" si="32"/>
        <v>0</v>
      </c>
      <c r="BH21" s="212">
        <f t="shared" si="33"/>
        <v>0</v>
      </c>
      <c r="BI21" s="212">
        <f t="shared" si="34"/>
        <v>0</v>
      </c>
      <c r="BJ21" s="212">
        <f t="shared" si="35"/>
        <v>0</v>
      </c>
      <c r="BK21" s="212">
        <f t="shared" si="36"/>
        <v>1</v>
      </c>
      <c r="BL21" s="212">
        <f t="shared" si="37"/>
        <v>1</v>
      </c>
      <c r="BM21" s="212">
        <f t="shared" si="38"/>
        <v>1</v>
      </c>
      <c r="BN21" s="213">
        <f t="shared" si="39"/>
        <v>1</v>
      </c>
      <c r="BO21" s="213">
        <f t="shared" si="40"/>
        <v>4</v>
      </c>
      <c r="BP21" s="7">
        <f t="shared" si="41"/>
        <v>2</v>
      </c>
      <c r="BQ21" t="str">
        <f t="shared" si="42"/>
        <v/>
      </c>
      <c r="BR21" s="91">
        <f>IF(Q21="-","-",VLOOKUP($G21,CTBat!$G$10:$AN$184,BR$9,FALSE)-Q21)</f>
        <v>1</v>
      </c>
      <c r="BS21" s="91">
        <f>IF(R21="-","-",VLOOKUP($G21,CTBat!$G$10:$AN$184,BS$9,FALSE)-R21)</f>
        <v>1</v>
      </c>
      <c r="BT21" s="91">
        <f>IF(S21="-","-",VLOOKUP($G21,CTBat!$G$10:$AN$184,BT$9,FALSE)-S21)</f>
        <v>0</v>
      </c>
      <c r="BU21" s="91">
        <f>IF(T21="-","-",VLOOKUP($G21,CTBat!$G$10:$AN$184,BU$9,FALSE)-T21)</f>
        <v>0</v>
      </c>
      <c r="BV21" s="91">
        <f>IF(U21="-","-",VLOOKUP($G21,CTBat!$G$10:$AN$184,BV$9,FALSE)-U21)</f>
        <v>1</v>
      </c>
      <c r="BW21" s="91">
        <f>IF(V21="-","-",VLOOKUP($G21,CTBat!$G$10:$AN$184,BW$9,FALSE)-V21)</f>
        <v>0</v>
      </c>
      <c r="BX21" s="91">
        <f>IF(W21="-","-",VLOOKUP($G21,CTBat!$G$10:$AN$184,BX$9,FALSE)-W21)</f>
        <v>0</v>
      </c>
      <c r="BY21" s="91">
        <f>IF(X21="-","-",VLOOKUP($G21,CTBat!$G$10:$AN$184,BY$9,FALSE)-X21)</f>
        <v>0</v>
      </c>
      <c r="BZ21" s="91">
        <f>IF(Y21="-","-",VLOOKUP($G21,CTBat!$G$10:$AN$184,BZ$9,FALSE)-Y21)</f>
        <v>1</v>
      </c>
      <c r="CA21" s="91">
        <f>IF(Z21="-","-",VLOOKUP($G21,CTBat!$G$10:$AN$184,CA$9,FALSE)-Z21)</f>
        <v>-1</v>
      </c>
      <c r="CB21" s="91">
        <f>IF(AA21="-","-",VLOOKUP($G21,CTBat!$G$10:$AN$184,CB$9,FALSE)-AA21)</f>
        <v>0</v>
      </c>
      <c r="CC21" s="91">
        <f>IF(AB21="-","-",VLOOKUP($G21,CTBat!$G$10:$AN$184,CC$9,FALSE)-AB21)</f>
        <v>0</v>
      </c>
      <c r="CD21" s="91">
        <f>IF(AC21="-","-",VLOOKUP($G21,CTBat!$G$10:$AN$184,CD$9,FALSE)-AC21)</f>
        <v>0</v>
      </c>
      <c r="CE21" s="91" t="str">
        <f>IF(AD21="-","-",VLOOKUP($G21,CTBat!$G$10:$AN$184,CE$9,FALSE)-AD21)</f>
        <v>-</v>
      </c>
      <c r="CF21" s="91">
        <f>IF(AE21="-","-",VLOOKUP($G21,CTBat!$G$10:$AN$184,CF$9,FALSE)-AE21)</f>
        <v>0</v>
      </c>
      <c r="CG21" s="91">
        <f>IF(AF21="-","-",VLOOKUP($G21,CTBat!$G$10:$AN$184,CG$9,FALSE)-AF21)</f>
        <v>0</v>
      </c>
      <c r="CH21" s="91">
        <f>IF(AG21="-","-",VLOOKUP($G21,CTBat!$G$10:$AN$184,CH$9,FALSE)-AG21)</f>
        <v>0</v>
      </c>
      <c r="CI21" s="91">
        <f>IF(AH21="-","-",VLOOKUP($G21,CTBat!$G$10:$AN$184,CI$9,FALSE)-AH21)</f>
        <v>0</v>
      </c>
      <c r="CJ21" s="91">
        <f>IF(AI21="-","-",VLOOKUP($G21,CTBat!$G$10:$AN$184,CJ$9,FALSE)-AI21)</f>
        <v>0</v>
      </c>
      <c r="CK21" s="91">
        <f>IF(AJ21="-","-",VLOOKUP($G21,CTBat!$G$10:$AN$184,CK$9,FALSE)-AJ21)</f>
        <v>0</v>
      </c>
      <c r="CL21" s="91" t="str">
        <f>IF(AK21="-","-",VLOOKUP($G21,CTBat!$G$10:$AN$184,CL$9,FALSE)-AK21)</f>
        <v>-</v>
      </c>
      <c r="CM21" s="91">
        <f>IF(AL21="-","-",VLOOKUP($G21,CTBat!$G$10:$AN$184,CM$9,FALSE)-AL21)</f>
        <v>0</v>
      </c>
      <c r="CN21" s="91">
        <f>IF(AM21="-","-",VLOOKUP($G21,CTBat!$G$10:$AN$184,CN$9,FALSE)-AM21)</f>
        <v>0</v>
      </c>
      <c r="CO21" s="91">
        <f>IF(AN21="-","-",VLOOKUP($G21,CTBat!$G$10:$AN$184,CO$9,FALSE)-AN21)</f>
        <v>0</v>
      </c>
      <c r="CP21" s="91">
        <f t="shared" si="43"/>
        <v>3</v>
      </c>
      <c r="CQ21" s="91">
        <f t="shared" si="44"/>
        <v>0</v>
      </c>
      <c r="CR21" s="91">
        <f t="shared" si="45"/>
        <v>0</v>
      </c>
      <c r="CS21" s="91">
        <f t="shared" si="46"/>
        <v>0</v>
      </c>
      <c r="CT21" s="91">
        <f t="shared" si="47"/>
        <v>3</v>
      </c>
    </row>
    <row r="22" spans="1:98">
      <c r="C22">
        <f t="shared" si="13"/>
        <v>1</v>
      </c>
      <c r="D22">
        <f t="shared" si="14"/>
        <v>1</v>
      </c>
      <c r="E22" t="str">
        <f t="shared" si="15"/>
        <v>K</v>
      </c>
      <c r="F22" t="s">
        <v>100</v>
      </c>
      <c r="G22" t="s">
        <v>381</v>
      </c>
      <c r="H22" t="s">
        <v>25</v>
      </c>
      <c r="I22" t="s">
        <v>207</v>
      </c>
      <c r="J22">
        <v>24</v>
      </c>
      <c r="K22" t="s">
        <v>103</v>
      </c>
      <c r="L22" t="s">
        <v>104</v>
      </c>
      <c r="M22" t="s">
        <v>48</v>
      </c>
      <c r="N22" s="3" t="s">
        <v>44</v>
      </c>
      <c r="O22" t="s">
        <v>223</v>
      </c>
      <c r="P22" s="3" t="s">
        <v>226</v>
      </c>
      <c r="Q22">
        <v>10</v>
      </c>
      <c r="R22">
        <v>7</v>
      </c>
      <c r="S22">
        <v>4</v>
      </c>
      <c r="T22">
        <v>6</v>
      </c>
      <c r="U22" s="3">
        <v>8</v>
      </c>
      <c r="V22">
        <v>10</v>
      </c>
      <c r="W22">
        <v>7</v>
      </c>
      <c r="X22">
        <v>5</v>
      </c>
      <c r="Y22">
        <v>6</v>
      </c>
      <c r="Z22" s="3">
        <v>8</v>
      </c>
      <c r="AA22">
        <v>1</v>
      </c>
      <c r="AB22">
        <v>10</v>
      </c>
      <c r="AC22">
        <v>1</v>
      </c>
      <c r="AD22" t="s">
        <v>41</v>
      </c>
      <c r="AE22" t="s">
        <v>41</v>
      </c>
      <c r="AF22" t="s">
        <v>41</v>
      </c>
      <c r="AG22" t="s">
        <v>41</v>
      </c>
      <c r="AH22" t="s">
        <v>41</v>
      </c>
      <c r="AI22">
        <v>7</v>
      </c>
      <c r="AJ22">
        <v>9</v>
      </c>
      <c r="AK22" s="3">
        <v>10</v>
      </c>
      <c r="AL22">
        <v>7</v>
      </c>
      <c r="AM22">
        <v>9</v>
      </c>
      <c r="AN22" s="3">
        <v>7</v>
      </c>
      <c r="AO22" s="85">
        <v>490000</v>
      </c>
      <c r="AP22" s="3" t="s">
        <v>45</v>
      </c>
      <c r="AQ22" s="6">
        <f t="shared" si="16"/>
        <v>7.166666666666667</v>
      </c>
      <c r="AR22" s="9" t="str">
        <f t="shared" si="17"/>
        <v>GoodReg</v>
      </c>
      <c r="AS22" s="6">
        <f t="shared" si="18"/>
        <v>7.5</v>
      </c>
      <c r="AT22" s="6" t="str">
        <f t="shared" si="19"/>
        <v>GoodReg</v>
      </c>
      <c r="AU22" s="9">
        <f t="shared" si="20"/>
        <v>7.5</v>
      </c>
      <c r="AV22" s="9" t="str">
        <f t="shared" si="21"/>
        <v>GoodReg</v>
      </c>
      <c r="AW22" s="53">
        <f t="shared" si="22"/>
        <v>1</v>
      </c>
      <c r="AX22" s="5">
        <f t="shared" si="23"/>
        <v>1</v>
      </c>
      <c r="AY22" s="5">
        <f t="shared" si="24"/>
        <v>0</v>
      </c>
      <c r="AZ22" s="5">
        <f t="shared" si="25"/>
        <v>0</v>
      </c>
      <c r="BA22" s="5">
        <f t="shared" si="26"/>
        <v>0</v>
      </c>
      <c r="BB22" s="5">
        <f t="shared" si="27"/>
        <v>1</v>
      </c>
      <c r="BC22" s="5">
        <f t="shared" si="28"/>
        <v>1</v>
      </c>
      <c r="BD22" s="5">
        <f t="shared" si="29"/>
        <v>1</v>
      </c>
      <c r="BE22" s="3">
        <f t="shared" si="30"/>
        <v>1</v>
      </c>
      <c r="BF22" s="53">
        <f t="shared" si="31"/>
        <v>1</v>
      </c>
      <c r="BG22" s="5">
        <f t="shared" si="32"/>
        <v>1</v>
      </c>
      <c r="BH22" s="5">
        <f t="shared" si="33"/>
        <v>0</v>
      </c>
      <c r="BI22" s="5">
        <f t="shared" si="34"/>
        <v>0</v>
      </c>
      <c r="BJ22" s="5">
        <f t="shared" si="35"/>
        <v>0</v>
      </c>
      <c r="BK22" s="5">
        <f t="shared" si="36"/>
        <v>1</v>
      </c>
      <c r="BL22" s="5">
        <f t="shared" si="37"/>
        <v>1</v>
      </c>
      <c r="BM22" s="5">
        <f t="shared" si="38"/>
        <v>1</v>
      </c>
      <c r="BN22" s="3">
        <f t="shared" si="39"/>
        <v>1</v>
      </c>
      <c r="BO22" s="3">
        <f t="shared" si="40"/>
        <v>3</v>
      </c>
      <c r="BP22" s="7">
        <f t="shared" si="41"/>
        <v>2</v>
      </c>
      <c r="BQ22" t="str">
        <f t="shared" si="42"/>
        <v/>
      </c>
      <c r="BR22" s="91">
        <f>IF(Q22="-","-",VLOOKUP($G22,CTBat!$G$10:$AN$184,BR$9,FALSE)-Q22)</f>
        <v>0</v>
      </c>
      <c r="BS22" s="91">
        <f>IF(R22="-","-",VLOOKUP($G22,CTBat!$G$10:$AN$184,BS$9,FALSE)-R22)</f>
        <v>0</v>
      </c>
      <c r="BT22" s="91">
        <f>IF(S22="-","-",VLOOKUP($G22,CTBat!$G$10:$AN$184,BT$9,FALSE)-S22)</f>
        <v>0</v>
      </c>
      <c r="BU22" s="91">
        <f>IF(T22="-","-",VLOOKUP($G22,CTBat!$G$10:$AN$184,BU$9,FALSE)-T22)</f>
        <v>0</v>
      </c>
      <c r="BV22" s="91">
        <f>IF(U22="-","-",VLOOKUP($G22,CTBat!$G$10:$AN$184,BV$9,FALSE)-U22)</f>
        <v>0</v>
      </c>
      <c r="BW22" s="91">
        <f>IF(V22="-","-",VLOOKUP($G22,CTBat!$G$10:$AN$184,BW$9,FALSE)-V22)</f>
        <v>0</v>
      </c>
      <c r="BX22" s="91">
        <f>IF(W22="-","-",VLOOKUP($G22,CTBat!$G$10:$AN$184,BX$9,FALSE)-W22)</f>
        <v>0</v>
      </c>
      <c r="BY22" s="91">
        <f>IF(X22="-","-",VLOOKUP($G22,CTBat!$G$10:$AN$184,BY$9,FALSE)-X22)</f>
        <v>0</v>
      </c>
      <c r="BZ22" s="91">
        <f>IF(Y22="-","-",VLOOKUP($G22,CTBat!$G$10:$AN$184,BZ$9,FALSE)-Y22)</f>
        <v>1</v>
      </c>
      <c r="CA22" s="91">
        <f>IF(Z22="-","-",VLOOKUP($G22,CTBat!$G$10:$AN$184,CA$9,FALSE)-Z22)</f>
        <v>0</v>
      </c>
      <c r="CB22" s="91">
        <f>IF(AA22="-","-",VLOOKUP($G22,CTBat!$G$10:$AN$184,CB$9,FALSE)-AA22)</f>
        <v>0</v>
      </c>
      <c r="CC22" s="91">
        <f>IF(AB22="-","-",VLOOKUP($G22,CTBat!$G$10:$AN$184,CC$9,FALSE)-AB22)</f>
        <v>0</v>
      </c>
      <c r="CD22" s="91">
        <f>IF(AC22="-","-",VLOOKUP($G22,CTBat!$G$10:$AN$184,CD$9,FALSE)-AC22)</f>
        <v>0</v>
      </c>
      <c r="CE22" s="91" t="str">
        <f>IF(AD22="-","-",VLOOKUP($G22,CTBat!$G$10:$AN$184,CE$9,FALSE)-AD22)</f>
        <v>-</v>
      </c>
      <c r="CF22" s="91" t="str">
        <f>IF(AE22="-","-",VLOOKUP($G22,CTBat!$G$10:$AN$184,CF$9,FALSE)-AE22)</f>
        <v>-</v>
      </c>
      <c r="CG22" s="91" t="str">
        <f>IF(AF22="-","-",VLOOKUP($G22,CTBat!$G$10:$AN$184,CG$9,FALSE)-AF22)</f>
        <v>-</v>
      </c>
      <c r="CH22" s="91" t="str">
        <f>IF(AG22="-","-",VLOOKUP($G22,CTBat!$G$10:$AN$184,CH$9,FALSE)-AG22)</f>
        <v>-</v>
      </c>
      <c r="CI22" s="91" t="str">
        <f>IF(AH22="-","-",VLOOKUP($G22,CTBat!$G$10:$AN$184,CI$9,FALSE)-AH22)</f>
        <v>-</v>
      </c>
      <c r="CJ22" s="91">
        <f>IF(AI22="-","-",VLOOKUP($G22,CTBat!$G$10:$AN$184,CJ$9,FALSE)-AI22)</f>
        <v>0</v>
      </c>
      <c r="CK22" s="91">
        <f>IF(AJ22="-","-",VLOOKUP($G22,CTBat!$G$10:$AN$184,CK$9,FALSE)-AJ22)</f>
        <v>0</v>
      </c>
      <c r="CL22" s="91">
        <f>IF(AK22="-","-",VLOOKUP($G22,CTBat!$G$10:$AN$184,CL$9,FALSE)-AK22)</f>
        <v>0</v>
      </c>
      <c r="CM22" s="91">
        <f>IF(AL22="-","-",VLOOKUP($G22,CTBat!$G$10:$AN$184,CM$9,FALSE)-AL22)</f>
        <v>0</v>
      </c>
      <c r="CN22" s="91">
        <f>IF(AM22="-","-",VLOOKUP($G22,CTBat!$G$10:$AN$184,CN$9,FALSE)-AM22)</f>
        <v>0</v>
      </c>
      <c r="CO22" s="91">
        <f>IF(AN22="-","-",VLOOKUP($G22,CTBat!$G$10:$AN$184,CO$9,FALSE)-AN22)</f>
        <v>1</v>
      </c>
      <c r="CP22" s="91">
        <f t="shared" si="43"/>
        <v>0</v>
      </c>
      <c r="CQ22" s="91">
        <f t="shared" si="44"/>
        <v>1</v>
      </c>
      <c r="CR22" s="91">
        <f t="shared" si="45"/>
        <v>0</v>
      </c>
      <c r="CS22" s="91">
        <f t="shared" si="46"/>
        <v>1</v>
      </c>
      <c r="CT22" s="91">
        <f t="shared" si="47"/>
        <v>2</v>
      </c>
    </row>
    <row r="23" spans="1:98">
      <c r="A23" s="91"/>
      <c r="B23" s="91"/>
      <c r="C23">
        <f t="shared" si="13"/>
        <v>2</v>
      </c>
      <c r="D23">
        <f t="shared" si="14"/>
        <v>2</v>
      </c>
      <c r="E23" t="str">
        <f t="shared" si="15"/>
        <v>K</v>
      </c>
      <c r="F23" t="s">
        <v>97</v>
      </c>
      <c r="G23" t="s">
        <v>50</v>
      </c>
      <c r="H23" t="s">
        <v>25</v>
      </c>
      <c r="I23" t="s">
        <v>207</v>
      </c>
      <c r="J23">
        <v>29</v>
      </c>
      <c r="K23" t="s">
        <v>104</v>
      </c>
      <c r="L23" t="s">
        <v>104</v>
      </c>
      <c r="M23" t="s">
        <v>47</v>
      </c>
      <c r="N23" s="325" t="s">
        <v>42</v>
      </c>
      <c r="O23" t="s">
        <v>225</v>
      </c>
      <c r="P23" s="325" t="s">
        <v>227</v>
      </c>
      <c r="Q23">
        <v>6</v>
      </c>
      <c r="R23">
        <v>6</v>
      </c>
      <c r="S23">
        <v>5</v>
      </c>
      <c r="T23">
        <v>8</v>
      </c>
      <c r="U23" s="325">
        <v>7</v>
      </c>
      <c r="V23">
        <v>6</v>
      </c>
      <c r="W23">
        <v>6</v>
      </c>
      <c r="X23">
        <v>5</v>
      </c>
      <c r="Y23">
        <v>8</v>
      </c>
      <c r="Z23" s="325">
        <v>7</v>
      </c>
      <c r="AA23">
        <v>10</v>
      </c>
      <c r="AB23">
        <v>2</v>
      </c>
      <c r="AC23">
        <v>1</v>
      </c>
      <c r="AD23" t="s">
        <v>41</v>
      </c>
      <c r="AE23">
        <v>10</v>
      </c>
      <c r="AF23">
        <v>10</v>
      </c>
      <c r="AG23">
        <v>10</v>
      </c>
      <c r="AH23">
        <v>8</v>
      </c>
      <c r="AI23" t="s">
        <v>41</v>
      </c>
      <c r="AJ23" t="s">
        <v>41</v>
      </c>
      <c r="AK23" s="325" t="s">
        <v>41</v>
      </c>
      <c r="AL23">
        <v>4</v>
      </c>
      <c r="AM23">
        <v>6</v>
      </c>
      <c r="AN23" s="325">
        <v>7</v>
      </c>
      <c r="AO23" s="85">
        <v>950000</v>
      </c>
      <c r="AP23" s="325" t="s">
        <v>46</v>
      </c>
      <c r="AQ23" s="6">
        <f t="shared" si="16"/>
        <v>6.833333333333333</v>
      </c>
      <c r="AR23" s="9" t="str">
        <f t="shared" si="17"/>
        <v>GoodReg</v>
      </c>
      <c r="AS23" s="6">
        <f t="shared" si="18"/>
        <v>6.833333333333333</v>
      </c>
      <c r="AT23" s="6" t="str">
        <f t="shared" si="19"/>
        <v>GoodReg</v>
      </c>
      <c r="AU23" s="9">
        <f t="shared" si="20"/>
        <v>6.833333333333333</v>
      </c>
      <c r="AV23" s="9" t="str">
        <f t="shared" si="21"/>
        <v>GoodReg</v>
      </c>
      <c r="AW23" s="323">
        <f t="shared" si="22"/>
        <v>0</v>
      </c>
      <c r="AX23" s="324">
        <f t="shared" si="23"/>
        <v>1</v>
      </c>
      <c r="AY23" s="324">
        <f t="shared" si="24"/>
        <v>0</v>
      </c>
      <c r="AZ23" s="324">
        <f t="shared" si="25"/>
        <v>0</v>
      </c>
      <c r="BA23" s="324">
        <f t="shared" si="26"/>
        <v>0</v>
      </c>
      <c r="BB23" s="324">
        <f t="shared" si="27"/>
        <v>0</v>
      </c>
      <c r="BC23" s="324">
        <f t="shared" si="28"/>
        <v>1</v>
      </c>
      <c r="BD23" s="324">
        <f t="shared" si="29"/>
        <v>1</v>
      </c>
      <c r="BE23" s="325">
        <f t="shared" si="30"/>
        <v>1</v>
      </c>
      <c r="BF23" s="323">
        <f t="shared" si="31"/>
        <v>0</v>
      </c>
      <c r="BG23" s="324">
        <f t="shared" si="32"/>
        <v>1</v>
      </c>
      <c r="BH23" s="324">
        <f t="shared" si="33"/>
        <v>0</v>
      </c>
      <c r="BI23" s="324">
        <f t="shared" si="34"/>
        <v>0</v>
      </c>
      <c r="BJ23" s="324">
        <f t="shared" si="35"/>
        <v>0</v>
      </c>
      <c r="BK23" s="324">
        <f t="shared" si="36"/>
        <v>0</v>
      </c>
      <c r="BL23" s="324">
        <f t="shared" si="37"/>
        <v>1</v>
      </c>
      <c r="BM23" s="324">
        <f t="shared" si="38"/>
        <v>1</v>
      </c>
      <c r="BN23" s="325">
        <f t="shared" si="39"/>
        <v>1</v>
      </c>
      <c r="BO23" s="325">
        <f t="shared" si="40"/>
        <v>1</v>
      </c>
      <c r="BP23" s="7">
        <f t="shared" si="41"/>
        <v>2</v>
      </c>
      <c r="BQ23" t="str">
        <f t="shared" si="42"/>
        <v/>
      </c>
      <c r="BR23" s="91">
        <f>IF(Q23="-","-",VLOOKUP($G23,CTBat!$G$10:$AN$184,BR$9,FALSE)-Q23)</f>
        <v>0</v>
      </c>
      <c r="BS23" s="91">
        <f>IF(R23="-","-",VLOOKUP($G23,CTBat!$G$10:$AN$184,BS$9,FALSE)-R23)</f>
        <v>0</v>
      </c>
      <c r="BT23" s="91">
        <f>IF(S23="-","-",VLOOKUP($G23,CTBat!$G$10:$AN$184,BT$9,FALSE)-S23)</f>
        <v>0</v>
      </c>
      <c r="BU23" s="91">
        <f>IF(T23="-","-",VLOOKUP($G23,CTBat!$G$10:$AN$184,BU$9,FALSE)-T23)</f>
        <v>0</v>
      </c>
      <c r="BV23" s="91">
        <f>IF(U23="-","-",VLOOKUP($G23,CTBat!$G$10:$AN$184,BV$9,FALSE)-U23)</f>
        <v>0</v>
      </c>
      <c r="BW23" s="91">
        <f>IF(V23="-","-",VLOOKUP($G23,CTBat!$G$10:$AN$184,BW$9,FALSE)-V23)</f>
        <v>0</v>
      </c>
      <c r="BX23" s="91">
        <f>IF(W23="-","-",VLOOKUP($G23,CTBat!$G$10:$AN$184,BX$9,FALSE)-W23)</f>
        <v>0</v>
      </c>
      <c r="BY23" s="91">
        <f>IF(X23="-","-",VLOOKUP($G23,CTBat!$G$10:$AN$184,BY$9,FALSE)-X23)</f>
        <v>0</v>
      </c>
      <c r="BZ23" s="91">
        <f>IF(Y23="-","-",VLOOKUP($G23,CTBat!$G$10:$AN$184,BZ$9,FALSE)-Y23)</f>
        <v>0</v>
      </c>
      <c r="CA23" s="91">
        <f>IF(Z23="-","-",VLOOKUP($G23,CTBat!$G$10:$AN$184,CA$9,FALSE)-Z23)</f>
        <v>0</v>
      </c>
      <c r="CB23" s="91">
        <f>IF(AA23="-","-",VLOOKUP($G23,CTBat!$G$10:$AN$184,CB$9,FALSE)-AA23)</f>
        <v>0</v>
      </c>
      <c r="CC23" s="91">
        <f>IF(AB23="-","-",VLOOKUP($G23,CTBat!$G$10:$AN$184,CC$9,FALSE)-AB23)</f>
        <v>0</v>
      </c>
      <c r="CD23" s="91">
        <f>IF(AC23="-","-",VLOOKUP($G23,CTBat!$G$10:$AN$184,CD$9,FALSE)-AC23)</f>
        <v>0</v>
      </c>
      <c r="CE23" s="91" t="str">
        <f>IF(AD23="-","-",VLOOKUP($G23,CTBat!$G$10:$AN$184,CE$9,FALSE)-AD23)</f>
        <v>-</v>
      </c>
      <c r="CF23" s="91">
        <f>IF(AE23="-","-",VLOOKUP($G23,CTBat!$G$10:$AN$184,CF$9,FALSE)-AE23)</f>
        <v>0</v>
      </c>
      <c r="CG23" s="91">
        <f>IF(AF23="-","-",VLOOKUP($G23,CTBat!$G$10:$AN$184,CG$9,FALSE)-AF23)</f>
        <v>0</v>
      </c>
      <c r="CH23" s="91">
        <f>IF(AG23="-","-",VLOOKUP($G23,CTBat!$G$10:$AN$184,CH$9,FALSE)-AG23)</f>
        <v>0</v>
      </c>
      <c r="CI23" s="91">
        <f>IF(AH23="-","-",VLOOKUP($G23,CTBat!$G$10:$AN$184,CI$9,FALSE)-AH23)</f>
        <v>1</v>
      </c>
      <c r="CJ23" s="91" t="str">
        <f>IF(AI23="-","-",VLOOKUP($G23,CTBat!$G$10:$AN$184,CJ$9,FALSE)-AI23)</f>
        <v>-</v>
      </c>
      <c r="CK23" s="91" t="str">
        <f>IF(AJ23="-","-",VLOOKUP($G23,CTBat!$G$10:$AN$184,CK$9,FALSE)-AJ23)</f>
        <v>-</v>
      </c>
      <c r="CL23" s="91" t="str">
        <f>IF(AK23="-","-",VLOOKUP($G23,CTBat!$G$10:$AN$184,CL$9,FALSE)-AK23)</f>
        <v>-</v>
      </c>
      <c r="CM23" s="91">
        <f>IF(AL23="-","-",VLOOKUP($G23,CTBat!$G$10:$AN$184,CM$9,FALSE)-AL23)</f>
        <v>0</v>
      </c>
      <c r="CN23" s="91">
        <f>IF(AM23="-","-",VLOOKUP($G23,CTBat!$G$10:$AN$184,CN$9,FALSE)-AM23)</f>
        <v>1</v>
      </c>
      <c r="CO23" s="91">
        <f>IF(AN23="-","-",VLOOKUP($G23,CTBat!$G$10:$AN$184,CO$9,FALSE)-AN23)</f>
        <v>0</v>
      </c>
      <c r="CP23" s="91">
        <f t="shared" si="43"/>
        <v>0</v>
      </c>
      <c r="CQ23" s="91">
        <f t="shared" si="44"/>
        <v>0</v>
      </c>
      <c r="CR23" s="91">
        <f t="shared" si="45"/>
        <v>1</v>
      </c>
      <c r="CS23" s="91">
        <f t="shared" si="46"/>
        <v>1</v>
      </c>
      <c r="CT23" s="91">
        <f t="shared" si="47"/>
        <v>2</v>
      </c>
    </row>
    <row r="24" spans="1:98">
      <c r="C24">
        <f t="shared" si="13"/>
        <v>2</v>
      </c>
      <c r="D24">
        <f t="shared" si="14"/>
        <v>2</v>
      </c>
      <c r="E24" t="str">
        <f t="shared" si="15"/>
        <v>K</v>
      </c>
      <c r="F24" t="s">
        <v>96</v>
      </c>
      <c r="G24" t="s">
        <v>486</v>
      </c>
      <c r="H24" t="s">
        <v>25</v>
      </c>
      <c r="I24" t="s">
        <v>207</v>
      </c>
      <c r="J24">
        <v>25</v>
      </c>
      <c r="K24" t="s">
        <v>104</v>
      </c>
      <c r="L24" t="s">
        <v>104</v>
      </c>
      <c r="M24" t="s">
        <v>47</v>
      </c>
      <c r="N24" s="3" t="s">
        <v>42</v>
      </c>
      <c r="O24" t="s">
        <v>223</v>
      </c>
      <c r="P24" s="3" t="s">
        <v>223</v>
      </c>
      <c r="Q24">
        <v>7</v>
      </c>
      <c r="R24">
        <v>6</v>
      </c>
      <c r="S24">
        <v>2</v>
      </c>
      <c r="T24">
        <v>7</v>
      </c>
      <c r="U24" s="3">
        <v>7</v>
      </c>
      <c r="V24">
        <v>7</v>
      </c>
      <c r="W24">
        <v>6</v>
      </c>
      <c r="X24">
        <v>2</v>
      </c>
      <c r="Y24">
        <v>7</v>
      </c>
      <c r="Z24" s="3">
        <v>7</v>
      </c>
      <c r="AA24">
        <v>9</v>
      </c>
      <c r="AB24">
        <v>4</v>
      </c>
      <c r="AC24">
        <v>1</v>
      </c>
      <c r="AD24" t="s">
        <v>41</v>
      </c>
      <c r="AE24" t="s">
        <v>41</v>
      </c>
      <c r="AF24">
        <v>1</v>
      </c>
      <c r="AG24">
        <v>5</v>
      </c>
      <c r="AH24">
        <v>3</v>
      </c>
      <c r="AI24" t="s">
        <v>41</v>
      </c>
      <c r="AJ24" t="s">
        <v>41</v>
      </c>
      <c r="AK24" s="3" t="s">
        <v>41</v>
      </c>
      <c r="AL24">
        <v>3</v>
      </c>
      <c r="AM24">
        <v>5</v>
      </c>
      <c r="AN24" s="3">
        <v>4</v>
      </c>
      <c r="AO24" s="85">
        <v>490000</v>
      </c>
      <c r="AP24" s="3" t="s">
        <v>45</v>
      </c>
      <c r="AQ24" s="6">
        <f t="shared" si="16"/>
        <v>5.833333333333333</v>
      </c>
      <c r="AR24" s="9" t="str">
        <f t="shared" si="17"/>
        <v>Reg</v>
      </c>
      <c r="AS24" s="6">
        <f t="shared" si="18"/>
        <v>5.833333333333333</v>
      </c>
      <c r="AT24" s="6" t="str">
        <f t="shared" si="19"/>
        <v>Reg</v>
      </c>
      <c r="AU24" s="9">
        <f t="shared" si="20"/>
        <v>5.833333333333333</v>
      </c>
      <c r="AV24" s="9" t="str">
        <f t="shared" si="21"/>
        <v>Reg</v>
      </c>
      <c r="AW24" s="53">
        <f t="shared" si="22"/>
        <v>0</v>
      </c>
      <c r="AX24" s="5">
        <f t="shared" si="23"/>
        <v>1</v>
      </c>
      <c r="AY24" s="5">
        <f t="shared" si="24"/>
        <v>0</v>
      </c>
      <c r="AZ24" s="5">
        <f t="shared" si="25"/>
        <v>0</v>
      </c>
      <c r="BA24" s="5">
        <f t="shared" si="26"/>
        <v>0</v>
      </c>
      <c r="BB24" s="5">
        <f t="shared" si="27"/>
        <v>1</v>
      </c>
      <c r="BC24" s="5">
        <f t="shared" si="28"/>
        <v>1</v>
      </c>
      <c r="BD24" s="5">
        <f t="shared" si="29"/>
        <v>1</v>
      </c>
      <c r="BE24" s="3">
        <f t="shared" si="30"/>
        <v>1</v>
      </c>
      <c r="BF24" s="53">
        <f t="shared" si="31"/>
        <v>0</v>
      </c>
      <c r="BG24" s="5">
        <f t="shared" si="32"/>
        <v>1</v>
      </c>
      <c r="BH24" s="5">
        <f t="shared" si="33"/>
        <v>0</v>
      </c>
      <c r="BI24" s="5">
        <f t="shared" si="34"/>
        <v>0</v>
      </c>
      <c r="BJ24" s="5">
        <f t="shared" si="35"/>
        <v>0</v>
      </c>
      <c r="BK24" s="5">
        <f t="shared" si="36"/>
        <v>1</v>
      </c>
      <c r="BL24" s="5">
        <f t="shared" si="37"/>
        <v>1</v>
      </c>
      <c r="BM24" s="5">
        <f t="shared" si="38"/>
        <v>1</v>
      </c>
      <c r="BN24" s="3">
        <f t="shared" si="39"/>
        <v>1</v>
      </c>
      <c r="BO24" s="3">
        <f t="shared" si="40"/>
        <v>0</v>
      </c>
      <c r="BP24" s="7">
        <f t="shared" si="41"/>
        <v>1</v>
      </c>
      <c r="BQ24" t="str">
        <f t="shared" si="42"/>
        <v/>
      </c>
      <c r="BR24" s="91">
        <f>IF(Q24="-","-",VLOOKUP($G24,CTBat!$G$10:$AN$184,BR$9,FALSE)-Q24)</f>
        <v>0</v>
      </c>
      <c r="BS24" s="91">
        <f>IF(R24="-","-",VLOOKUP($G24,CTBat!$G$10:$AN$184,BS$9,FALSE)-R24)</f>
        <v>0</v>
      </c>
      <c r="BT24" s="91">
        <f>IF(S24="-","-",VLOOKUP($G24,CTBat!$G$10:$AN$184,BT$9,FALSE)-S24)</f>
        <v>0</v>
      </c>
      <c r="BU24" s="91">
        <f>IF(T24="-","-",VLOOKUP($G24,CTBat!$G$10:$AN$184,BU$9,FALSE)-T24)</f>
        <v>0</v>
      </c>
      <c r="BV24" s="91">
        <f>IF(U24="-","-",VLOOKUP($G24,CTBat!$G$10:$AN$184,BV$9,FALSE)-U24)</f>
        <v>0</v>
      </c>
      <c r="BW24" s="91">
        <f>IF(V24="-","-",VLOOKUP($G24,CTBat!$G$10:$AN$184,BW$9,FALSE)-V24)</f>
        <v>0</v>
      </c>
      <c r="BX24" s="91">
        <f>IF(W24="-","-",VLOOKUP($G24,CTBat!$G$10:$AN$184,BX$9,FALSE)-W24)</f>
        <v>0</v>
      </c>
      <c r="BY24" s="91">
        <f>IF(X24="-","-",VLOOKUP($G24,CTBat!$G$10:$AN$184,BY$9,FALSE)-X24)</f>
        <v>0</v>
      </c>
      <c r="BZ24" s="91">
        <f>IF(Y24="-","-",VLOOKUP($G24,CTBat!$G$10:$AN$184,BZ$9,FALSE)-Y24)</f>
        <v>1</v>
      </c>
      <c r="CA24" s="91">
        <f>IF(Z24="-","-",VLOOKUP($G24,CTBat!$G$10:$AN$184,CA$9,FALSE)-Z24)</f>
        <v>0</v>
      </c>
      <c r="CB24" s="91">
        <f>IF(AA24="-","-",VLOOKUP($G24,CTBat!$G$10:$AN$184,CB$9,FALSE)-AA24)</f>
        <v>0</v>
      </c>
      <c r="CC24" s="91">
        <f>IF(AB24="-","-",VLOOKUP($G24,CTBat!$G$10:$AN$184,CC$9,FALSE)-AB24)</f>
        <v>0</v>
      </c>
      <c r="CD24" s="91">
        <f>IF(AC24="-","-",VLOOKUP($G24,CTBat!$G$10:$AN$184,CD$9,FALSE)-AC24)</f>
        <v>0</v>
      </c>
      <c r="CE24" s="91" t="str">
        <f>IF(AD24="-","-",VLOOKUP($G24,CTBat!$G$10:$AN$184,CE$9,FALSE)-AD24)</f>
        <v>-</v>
      </c>
      <c r="CF24" s="91" t="str">
        <f>IF(AE24="-","-",VLOOKUP($G24,CTBat!$G$10:$AN$184,CF$9,FALSE)-AE24)</f>
        <v>-</v>
      </c>
      <c r="CG24" s="91">
        <f>IF(AF24="-","-",VLOOKUP($G24,CTBat!$G$10:$AN$184,CG$9,FALSE)-AF24)</f>
        <v>0</v>
      </c>
      <c r="CH24" s="91">
        <f>IF(AG24="-","-",VLOOKUP($G24,CTBat!$G$10:$AN$184,CH$9,FALSE)-AG24)</f>
        <v>1</v>
      </c>
      <c r="CI24" s="91">
        <f>IF(AH24="-","-",VLOOKUP($G24,CTBat!$G$10:$AN$184,CI$9,FALSE)-AH24)</f>
        <v>0</v>
      </c>
      <c r="CJ24" s="91" t="str">
        <f>IF(AI24="-","-",VLOOKUP($G24,CTBat!$G$10:$AN$184,CJ$9,FALSE)-AI24)</f>
        <v>-</v>
      </c>
      <c r="CK24" s="91" t="str">
        <f>IF(AJ24="-","-",VLOOKUP($G24,CTBat!$G$10:$AN$184,CK$9,FALSE)-AJ24)</f>
        <v>-</v>
      </c>
      <c r="CL24" s="91" t="str">
        <f>IF(AK24="-","-",VLOOKUP($G24,CTBat!$G$10:$AN$184,CL$9,FALSE)-AK24)</f>
        <v>-</v>
      </c>
      <c r="CM24" s="91">
        <f>IF(AL24="-","-",VLOOKUP($G24,CTBat!$G$10:$AN$184,CM$9,FALSE)-AL24)</f>
        <v>0</v>
      </c>
      <c r="CN24" s="91">
        <f>IF(AM24="-","-",VLOOKUP($G24,CTBat!$G$10:$AN$184,CN$9,FALSE)-AM24)</f>
        <v>0</v>
      </c>
      <c r="CO24" s="91">
        <f>IF(AN24="-","-",VLOOKUP($G24,CTBat!$G$10:$AN$184,CO$9,FALSE)-AN24)</f>
        <v>0</v>
      </c>
      <c r="CP24" s="91">
        <f t="shared" si="43"/>
        <v>0</v>
      </c>
      <c r="CQ24" s="91">
        <f t="shared" si="44"/>
        <v>1</v>
      </c>
      <c r="CR24" s="91">
        <f t="shared" si="45"/>
        <v>1</v>
      </c>
      <c r="CS24" s="91">
        <f t="shared" si="46"/>
        <v>0</v>
      </c>
      <c r="CT24" s="91">
        <f t="shared" si="47"/>
        <v>2</v>
      </c>
    </row>
    <row r="25" spans="1:98">
      <c r="C25">
        <f t="shared" si="13"/>
        <v>8</v>
      </c>
      <c r="D25">
        <f t="shared" si="14"/>
        <v>8</v>
      </c>
      <c r="E25" t="str">
        <f t="shared" si="15"/>
        <v>K</v>
      </c>
      <c r="F25" t="s">
        <v>99</v>
      </c>
      <c r="G25" t="s">
        <v>389</v>
      </c>
      <c r="H25" t="s">
        <v>372</v>
      </c>
      <c r="I25" t="s">
        <v>209</v>
      </c>
      <c r="J25">
        <v>24</v>
      </c>
      <c r="K25" t="s">
        <v>103</v>
      </c>
      <c r="L25" t="s">
        <v>104</v>
      </c>
      <c r="M25" t="s">
        <v>47</v>
      </c>
      <c r="N25" s="3" t="s">
        <v>47</v>
      </c>
      <c r="O25" t="s">
        <v>224</v>
      </c>
      <c r="P25" s="3" t="s">
        <v>224</v>
      </c>
      <c r="Q25">
        <v>6</v>
      </c>
      <c r="R25">
        <v>7</v>
      </c>
      <c r="S25">
        <v>5</v>
      </c>
      <c r="T25">
        <v>5</v>
      </c>
      <c r="U25" s="3">
        <v>4</v>
      </c>
      <c r="V25">
        <v>6</v>
      </c>
      <c r="W25">
        <v>7</v>
      </c>
      <c r="X25">
        <v>5</v>
      </c>
      <c r="Y25">
        <v>5</v>
      </c>
      <c r="Z25" s="3">
        <v>5</v>
      </c>
      <c r="AA25">
        <v>1</v>
      </c>
      <c r="AB25">
        <v>8</v>
      </c>
      <c r="AC25">
        <v>1</v>
      </c>
      <c r="AD25" t="s">
        <v>41</v>
      </c>
      <c r="AE25" t="s">
        <v>41</v>
      </c>
      <c r="AF25" t="s">
        <v>41</v>
      </c>
      <c r="AG25" t="s">
        <v>41</v>
      </c>
      <c r="AH25" t="s">
        <v>41</v>
      </c>
      <c r="AI25">
        <v>5</v>
      </c>
      <c r="AJ25">
        <v>8</v>
      </c>
      <c r="AK25" s="3">
        <v>7</v>
      </c>
      <c r="AL25">
        <v>6</v>
      </c>
      <c r="AM25">
        <v>9</v>
      </c>
      <c r="AN25" s="3">
        <v>7</v>
      </c>
      <c r="AO25" s="85" t="s">
        <v>41</v>
      </c>
      <c r="AP25" s="3">
        <v>0</v>
      </c>
      <c r="AQ25" s="6">
        <f t="shared" si="16"/>
        <v>5.333333333333333</v>
      </c>
      <c r="AR25" s="9" t="str">
        <f t="shared" si="17"/>
        <v>Reg</v>
      </c>
      <c r="AS25" s="6">
        <f t="shared" si="18"/>
        <v>5.333333333333333</v>
      </c>
      <c r="AT25" s="6" t="str">
        <f t="shared" si="19"/>
        <v>Reg</v>
      </c>
      <c r="AU25" s="9">
        <f t="shared" si="20"/>
        <v>5.333333333333333</v>
      </c>
      <c r="AV25" s="9" t="str">
        <f t="shared" si="21"/>
        <v>Reg</v>
      </c>
      <c r="AW25" s="53">
        <f t="shared" si="22"/>
        <v>0</v>
      </c>
      <c r="AX25" s="5">
        <f t="shared" si="23"/>
        <v>0</v>
      </c>
      <c r="AY25" s="5">
        <f t="shared" si="24"/>
        <v>0</v>
      </c>
      <c r="AZ25" s="5">
        <f t="shared" si="25"/>
        <v>0</v>
      </c>
      <c r="BA25" s="5">
        <f t="shared" si="26"/>
        <v>0</v>
      </c>
      <c r="BB25" s="5">
        <f t="shared" si="27"/>
        <v>0</v>
      </c>
      <c r="BC25" s="5">
        <f t="shared" si="28"/>
        <v>0</v>
      </c>
      <c r="BD25" s="5">
        <f t="shared" si="29"/>
        <v>1</v>
      </c>
      <c r="BE25" s="3">
        <f t="shared" si="30"/>
        <v>1</v>
      </c>
      <c r="BF25" s="53">
        <f t="shared" si="31"/>
        <v>0</v>
      </c>
      <c r="BG25" s="5">
        <f t="shared" si="32"/>
        <v>0</v>
      </c>
      <c r="BH25" s="5">
        <f t="shared" si="33"/>
        <v>0</v>
      </c>
      <c r="BI25" s="5">
        <f t="shared" si="34"/>
        <v>0</v>
      </c>
      <c r="BJ25" s="5">
        <f t="shared" si="35"/>
        <v>0</v>
      </c>
      <c r="BK25" s="5">
        <f t="shared" si="36"/>
        <v>0</v>
      </c>
      <c r="BL25" s="5">
        <f t="shared" si="37"/>
        <v>0</v>
      </c>
      <c r="BM25" s="5">
        <f t="shared" si="38"/>
        <v>1</v>
      </c>
      <c r="BN25" s="3">
        <f t="shared" si="39"/>
        <v>1</v>
      </c>
      <c r="BO25" s="3">
        <f t="shared" si="40"/>
        <v>3</v>
      </c>
      <c r="BP25" s="7">
        <f t="shared" si="41"/>
        <v>2</v>
      </c>
      <c r="BQ25" t="str">
        <f t="shared" si="42"/>
        <v/>
      </c>
      <c r="BR25" s="91">
        <f>IF(Q25="-","-",VLOOKUP($G25,CTBat!$G$10:$AN$184,BR$9,FALSE)-Q25)</f>
        <v>0</v>
      </c>
      <c r="BS25" s="91">
        <f>IF(R25="-","-",VLOOKUP($G25,CTBat!$G$10:$AN$184,BS$9,FALSE)-R25)</f>
        <v>0</v>
      </c>
      <c r="BT25" s="91">
        <f>IF(S25="-","-",VLOOKUP($G25,CTBat!$G$10:$AN$184,BT$9,FALSE)-S25)</f>
        <v>0</v>
      </c>
      <c r="BU25" s="91">
        <f>IF(T25="-","-",VLOOKUP($G25,CTBat!$G$10:$AN$184,BU$9,FALSE)-T25)</f>
        <v>0</v>
      </c>
      <c r="BV25" s="91">
        <f>IF(U25="-","-",VLOOKUP($G25,CTBat!$G$10:$AN$184,BV$9,FALSE)-U25)</f>
        <v>1</v>
      </c>
      <c r="BW25" s="91">
        <f>IF(V25="-","-",VLOOKUP($G25,CTBat!$G$10:$AN$184,BW$9,FALSE)-V25)</f>
        <v>0</v>
      </c>
      <c r="BX25" s="91">
        <f>IF(W25="-","-",VLOOKUP($G25,CTBat!$G$10:$AN$184,BX$9,FALSE)-W25)</f>
        <v>0</v>
      </c>
      <c r="BY25" s="91">
        <f>IF(X25="-","-",VLOOKUP($G25,CTBat!$G$10:$AN$184,BY$9,FALSE)-X25)</f>
        <v>0</v>
      </c>
      <c r="BZ25" s="91">
        <f>IF(Y25="-","-",VLOOKUP($G25,CTBat!$G$10:$AN$184,BZ$9,FALSE)-Y25)</f>
        <v>1</v>
      </c>
      <c r="CA25" s="91">
        <f>IF(Z25="-","-",VLOOKUP($G25,CTBat!$G$10:$AN$184,CA$9,FALSE)-Z25)</f>
        <v>0</v>
      </c>
      <c r="CB25" s="91">
        <f>IF(AA25="-","-",VLOOKUP($G25,CTBat!$G$10:$AN$184,CB$9,FALSE)-AA25)</f>
        <v>0</v>
      </c>
      <c r="CC25" s="91">
        <f>IF(AB25="-","-",VLOOKUP($G25,CTBat!$G$10:$AN$184,CC$9,FALSE)-AB25)</f>
        <v>0</v>
      </c>
      <c r="CD25" s="91">
        <f>IF(AC25="-","-",VLOOKUP($G25,CTBat!$G$10:$AN$184,CD$9,FALSE)-AC25)</f>
        <v>0</v>
      </c>
      <c r="CE25" s="91" t="str">
        <f>IF(AD25="-","-",VLOOKUP($G25,CTBat!$G$10:$AN$184,CE$9,FALSE)-AD25)</f>
        <v>-</v>
      </c>
      <c r="CF25" s="91" t="str">
        <f>IF(AE25="-","-",VLOOKUP($G25,CTBat!$G$10:$AN$184,CF$9,FALSE)-AE25)</f>
        <v>-</v>
      </c>
      <c r="CG25" s="91" t="str">
        <f>IF(AF25="-","-",VLOOKUP($G25,CTBat!$G$10:$AN$184,CG$9,FALSE)-AF25)</f>
        <v>-</v>
      </c>
      <c r="CH25" s="91" t="str">
        <f>IF(AG25="-","-",VLOOKUP($G25,CTBat!$G$10:$AN$184,CH$9,FALSE)-AG25)</f>
        <v>-</v>
      </c>
      <c r="CI25" s="91" t="str">
        <f>IF(AH25="-","-",VLOOKUP($G25,CTBat!$G$10:$AN$184,CI$9,FALSE)-AH25)</f>
        <v>-</v>
      </c>
      <c r="CJ25" s="91">
        <f>IF(AI25="-","-",VLOOKUP($G25,CTBat!$G$10:$AN$184,CJ$9,FALSE)-AI25)</f>
        <v>0</v>
      </c>
      <c r="CK25" s="91">
        <f>IF(AJ25="-","-",VLOOKUP($G25,CTBat!$G$10:$AN$184,CK$9,FALSE)-AJ25)</f>
        <v>0</v>
      </c>
      <c r="CL25" s="91">
        <f>IF(AK25="-","-",VLOOKUP($G25,CTBat!$G$10:$AN$184,CL$9,FALSE)-AK25)</f>
        <v>0</v>
      </c>
      <c r="CM25" s="91">
        <f>IF(AL25="-","-",VLOOKUP($G25,CTBat!$G$10:$AN$184,CM$9,FALSE)-AL25)</f>
        <v>0</v>
      </c>
      <c r="CN25" s="91">
        <f>IF(AM25="-","-",VLOOKUP($G25,CTBat!$G$10:$AN$184,CN$9,FALSE)-AM25)</f>
        <v>0</v>
      </c>
      <c r="CO25" s="91">
        <f>IF(AN25="-","-",VLOOKUP($G25,CTBat!$G$10:$AN$184,CO$9,FALSE)-AN25)</f>
        <v>0</v>
      </c>
      <c r="CP25" s="91">
        <f t="shared" si="43"/>
        <v>1</v>
      </c>
      <c r="CQ25" s="91">
        <f t="shared" si="44"/>
        <v>1</v>
      </c>
      <c r="CR25" s="91">
        <f t="shared" si="45"/>
        <v>0</v>
      </c>
      <c r="CS25" s="91">
        <f t="shared" si="46"/>
        <v>0</v>
      </c>
      <c r="CT25" s="91">
        <f t="shared" si="47"/>
        <v>2</v>
      </c>
    </row>
    <row r="26" spans="1:98">
      <c r="C26" t="str">
        <f t="shared" si="13"/>
        <v>-</v>
      </c>
      <c r="D26" t="str">
        <f t="shared" si="14"/>
        <v>-</v>
      </c>
      <c r="E26" t="str">
        <f t="shared" si="15"/>
        <v>K</v>
      </c>
      <c r="F26" t="s">
        <v>100</v>
      </c>
      <c r="G26" t="s">
        <v>241</v>
      </c>
      <c r="H26" t="s">
        <v>372</v>
      </c>
      <c r="I26" t="s">
        <v>209</v>
      </c>
      <c r="J26">
        <v>23</v>
      </c>
      <c r="K26" t="s">
        <v>104</v>
      </c>
      <c r="L26" t="s">
        <v>104</v>
      </c>
      <c r="M26" t="s">
        <v>47</v>
      </c>
      <c r="N26" s="3" t="s">
        <v>47</v>
      </c>
      <c r="O26" t="s">
        <v>223</v>
      </c>
      <c r="P26" s="3" t="s">
        <v>223</v>
      </c>
      <c r="Q26">
        <v>6</v>
      </c>
      <c r="R26">
        <v>5</v>
      </c>
      <c r="S26">
        <v>4</v>
      </c>
      <c r="T26">
        <v>5</v>
      </c>
      <c r="U26" s="3">
        <v>6</v>
      </c>
      <c r="V26">
        <v>6</v>
      </c>
      <c r="W26">
        <v>6</v>
      </c>
      <c r="X26">
        <v>4</v>
      </c>
      <c r="Y26">
        <v>5</v>
      </c>
      <c r="Z26" s="3">
        <v>6</v>
      </c>
      <c r="AA26">
        <v>1</v>
      </c>
      <c r="AB26">
        <v>6</v>
      </c>
      <c r="AC26">
        <v>1</v>
      </c>
      <c r="AD26" t="s">
        <v>41</v>
      </c>
      <c r="AE26">
        <v>1</v>
      </c>
      <c r="AF26" t="s">
        <v>41</v>
      </c>
      <c r="AG26" t="s">
        <v>41</v>
      </c>
      <c r="AH26" t="s">
        <v>41</v>
      </c>
      <c r="AI26">
        <v>4</v>
      </c>
      <c r="AJ26">
        <v>1</v>
      </c>
      <c r="AK26" s="3">
        <v>4</v>
      </c>
      <c r="AL26">
        <v>4</v>
      </c>
      <c r="AM26">
        <v>4</v>
      </c>
      <c r="AN26" s="3">
        <v>4</v>
      </c>
      <c r="AO26" s="85" t="s">
        <v>41</v>
      </c>
      <c r="AP26" s="3">
        <v>0</v>
      </c>
      <c r="AQ26" s="6">
        <f t="shared" si="16"/>
        <v>5</v>
      </c>
      <c r="AR26" s="9" t="str">
        <f t="shared" si="17"/>
        <v>Bench</v>
      </c>
      <c r="AS26" s="6">
        <f t="shared" si="18"/>
        <v>5</v>
      </c>
      <c r="AT26" s="6" t="str">
        <f t="shared" si="19"/>
        <v>Bench</v>
      </c>
      <c r="AU26" s="9">
        <f t="shared" si="20"/>
        <v>5</v>
      </c>
      <c r="AV26" s="9" t="str">
        <f t="shared" si="21"/>
        <v>Bench</v>
      </c>
      <c r="AW26" s="53">
        <f t="shared" si="22"/>
        <v>0</v>
      </c>
      <c r="AX26" s="5">
        <f t="shared" si="23"/>
        <v>0</v>
      </c>
      <c r="AY26" s="5">
        <f t="shared" si="24"/>
        <v>0</v>
      </c>
      <c r="AZ26" s="5">
        <f t="shared" si="25"/>
        <v>0</v>
      </c>
      <c r="BA26" s="5">
        <f t="shared" si="26"/>
        <v>0</v>
      </c>
      <c r="BB26" s="5">
        <f t="shared" si="27"/>
        <v>0</v>
      </c>
      <c r="BC26" s="5">
        <f t="shared" si="28"/>
        <v>0</v>
      </c>
      <c r="BD26" s="5">
        <f t="shared" si="29"/>
        <v>0</v>
      </c>
      <c r="BE26" s="3">
        <f t="shared" si="30"/>
        <v>0</v>
      </c>
      <c r="BF26" s="53">
        <f t="shared" si="31"/>
        <v>0</v>
      </c>
      <c r="BG26" s="5">
        <f t="shared" si="32"/>
        <v>0</v>
      </c>
      <c r="BH26" s="5">
        <f t="shared" si="33"/>
        <v>0</v>
      </c>
      <c r="BI26" s="5">
        <f t="shared" si="34"/>
        <v>0</v>
      </c>
      <c r="BJ26" s="5">
        <f t="shared" si="35"/>
        <v>0</v>
      </c>
      <c r="BK26" s="5">
        <f t="shared" si="36"/>
        <v>0</v>
      </c>
      <c r="BL26" s="5">
        <f t="shared" si="37"/>
        <v>0</v>
      </c>
      <c r="BM26" s="5">
        <f t="shared" si="38"/>
        <v>0</v>
      </c>
      <c r="BN26" s="3">
        <f t="shared" si="39"/>
        <v>0</v>
      </c>
      <c r="BO26" s="3">
        <f t="shared" si="40"/>
        <v>0</v>
      </c>
      <c r="BP26" s="7">
        <f t="shared" si="41"/>
        <v>0</v>
      </c>
      <c r="BQ26" t="str">
        <f t="shared" si="42"/>
        <v/>
      </c>
      <c r="BR26" s="91">
        <f>IF(Q26="-","-",VLOOKUP($G26,CTBat!$G$10:$AN$184,BR$9,FALSE)-Q26)</f>
        <v>0</v>
      </c>
      <c r="BS26" s="91">
        <f>IF(R26="-","-",VLOOKUP($G26,CTBat!$G$10:$AN$184,BS$9,FALSE)-R26)</f>
        <v>0</v>
      </c>
      <c r="BT26" s="91">
        <f>IF(S26="-","-",VLOOKUP($G26,CTBat!$G$10:$AN$184,BT$9,FALSE)-S26)</f>
        <v>0</v>
      </c>
      <c r="BU26" s="91">
        <f>IF(T26="-","-",VLOOKUP($G26,CTBat!$G$10:$AN$184,BU$9,FALSE)-T26)</f>
        <v>0</v>
      </c>
      <c r="BV26" s="91">
        <f>IF(U26="-","-",VLOOKUP($G26,CTBat!$G$10:$AN$184,BV$9,FALSE)-U26)</f>
        <v>1</v>
      </c>
      <c r="BW26" s="91">
        <f>IF(V26="-","-",VLOOKUP($G26,CTBat!$G$10:$AN$184,BW$9,FALSE)-V26)</f>
        <v>1</v>
      </c>
      <c r="BX26" s="91">
        <f>IF(W26="-","-",VLOOKUP($G26,CTBat!$G$10:$AN$184,BX$9,FALSE)-W26)</f>
        <v>-1</v>
      </c>
      <c r="BY26" s="91">
        <f>IF(X26="-","-",VLOOKUP($G26,CTBat!$G$10:$AN$184,BY$9,FALSE)-X26)</f>
        <v>0</v>
      </c>
      <c r="BZ26" s="91">
        <f>IF(Y26="-","-",VLOOKUP($G26,CTBat!$G$10:$AN$184,BZ$9,FALSE)-Y26)</f>
        <v>1</v>
      </c>
      <c r="CA26" s="91">
        <f>IF(Z26="-","-",VLOOKUP($G26,CTBat!$G$10:$AN$184,CA$9,FALSE)-Z26)</f>
        <v>1</v>
      </c>
      <c r="CB26" s="91">
        <f>IF(AA26="-","-",VLOOKUP($G26,CTBat!$G$10:$AN$184,CB$9,FALSE)-AA26)</f>
        <v>0</v>
      </c>
      <c r="CC26" s="91">
        <f>IF(AB26="-","-",VLOOKUP($G26,CTBat!$G$10:$AN$184,CC$9,FALSE)-AB26)</f>
        <v>0</v>
      </c>
      <c r="CD26" s="91">
        <f>IF(AC26="-","-",VLOOKUP($G26,CTBat!$G$10:$AN$184,CD$9,FALSE)-AC26)</f>
        <v>0</v>
      </c>
      <c r="CE26" s="91" t="str">
        <f>IF(AD26="-","-",VLOOKUP($G26,CTBat!$G$10:$AN$184,CE$9,FALSE)-AD26)</f>
        <v>-</v>
      </c>
      <c r="CF26" s="91">
        <f>IF(AE26="-","-",VLOOKUP($G26,CTBat!$G$10:$AN$184,CF$9,FALSE)-AE26)</f>
        <v>0</v>
      </c>
      <c r="CG26" s="91" t="str">
        <f>IF(AF26="-","-",VLOOKUP($G26,CTBat!$G$10:$AN$184,CG$9,FALSE)-AF26)</f>
        <v>-</v>
      </c>
      <c r="CH26" s="91" t="str">
        <f>IF(AG26="-","-",VLOOKUP($G26,CTBat!$G$10:$AN$184,CH$9,FALSE)-AG26)</f>
        <v>-</v>
      </c>
      <c r="CI26" s="91" t="str">
        <f>IF(AH26="-","-",VLOOKUP($G26,CTBat!$G$10:$AN$184,CI$9,FALSE)-AH26)</f>
        <v>-</v>
      </c>
      <c r="CJ26" s="91">
        <f>IF(AI26="-","-",VLOOKUP($G26,CTBat!$G$10:$AN$184,CJ$9,FALSE)-AI26)</f>
        <v>-1</v>
      </c>
      <c r="CK26" s="91">
        <f>IF(AJ26="-","-",VLOOKUP($G26,CTBat!$G$10:$AN$184,CK$9,FALSE)-AJ26)</f>
        <v>0</v>
      </c>
      <c r="CL26" s="91">
        <f>IF(AK26="-","-",VLOOKUP($G26,CTBat!$G$10:$AN$184,CL$9,FALSE)-AK26)</f>
        <v>0</v>
      </c>
      <c r="CM26" s="91">
        <f>IF(AL26="-","-",VLOOKUP($G26,CTBat!$G$10:$AN$184,CM$9,FALSE)-AL26)</f>
        <v>0</v>
      </c>
      <c r="CN26" s="91">
        <f>IF(AM26="-","-",VLOOKUP($G26,CTBat!$G$10:$AN$184,CN$9,FALSE)-AM26)</f>
        <v>0</v>
      </c>
      <c r="CO26" s="91">
        <f>IF(AN26="-","-",VLOOKUP($G26,CTBat!$G$10:$AN$184,CO$9,FALSE)-AN26)</f>
        <v>0</v>
      </c>
      <c r="CP26" s="91">
        <f t="shared" si="43"/>
        <v>1</v>
      </c>
      <c r="CQ26" s="91">
        <f t="shared" si="44"/>
        <v>2</v>
      </c>
      <c r="CR26" s="91">
        <f t="shared" si="45"/>
        <v>-1</v>
      </c>
      <c r="CS26" s="91">
        <f t="shared" si="46"/>
        <v>0</v>
      </c>
      <c r="CT26" s="91">
        <f t="shared" si="47"/>
        <v>2</v>
      </c>
    </row>
    <row r="27" spans="1:98" s="103" customFormat="1">
      <c r="A27"/>
      <c r="B27"/>
      <c r="C27" t="str">
        <f t="shared" si="13"/>
        <v>-</v>
      </c>
      <c r="D27" t="str">
        <f t="shared" si="14"/>
        <v>-</v>
      </c>
      <c r="E27" t="str">
        <f t="shared" si="15"/>
        <v>K</v>
      </c>
      <c r="F27" t="s">
        <v>95</v>
      </c>
      <c r="G27" t="s">
        <v>387</v>
      </c>
      <c r="H27" t="s">
        <v>372</v>
      </c>
      <c r="I27" t="s">
        <v>209</v>
      </c>
      <c r="J27">
        <v>24</v>
      </c>
      <c r="K27" t="s">
        <v>104</v>
      </c>
      <c r="L27" t="s">
        <v>104</v>
      </c>
      <c r="M27" t="s">
        <v>47</v>
      </c>
      <c r="N27" s="269" t="s">
        <v>47</v>
      </c>
      <c r="O27" t="s">
        <v>226</v>
      </c>
      <c r="P27" s="269" t="s">
        <v>223</v>
      </c>
      <c r="Q27">
        <v>5</v>
      </c>
      <c r="R27">
        <v>3</v>
      </c>
      <c r="S27">
        <v>1</v>
      </c>
      <c r="T27">
        <v>3</v>
      </c>
      <c r="U27" s="269">
        <v>5</v>
      </c>
      <c r="V27">
        <v>5</v>
      </c>
      <c r="W27">
        <v>3</v>
      </c>
      <c r="X27">
        <v>2</v>
      </c>
      <c r="Y27">
        <v>4</v>
      </c>
      <c r="Z27" s="269">
        <v>5</v>
      </c>
      <c r="AA27">
        <v>7</v>
      </c>
      <c r="AB27">
        <v>1</v>
      </c>
      <c r="AC27">
        <v>1</v>
      </c>
      <c r="AD27" t="s">
        <v>41</v>
      </c>
      <c r="AE27">
        <v>10</v>
      </c>
      <c r="AF27">
        <v>10</v>
      </c>
      <c r="AG27">
        <v>9</v>
      </c>
      <c r="AH27">
        <v>8</v>
      </c>
      <c r="AI27" t="s">
        <v>41</v>
      </c>
      <c r="AJ27" t="s">
        <v>41</v>
      </c>
      <c r="AK27" s="269" t="s">
        <v>41</v>
      </c>
      <c r="AL27">
        <v>6</v>
      </c>
      <c r="AM27">
        <v>8</v>
      </c>
      <c r="AN27" s="269">
        <v>6</v>
      </c>
      <c r="AO27" s="85" t="s">
        <v>41</v>
      </c>
      <c r="AP27" s="269">
        <v>0</v>
      </c>
      <c r="AQ27" s="6">
        <f t="shared" si="16"/>
        <v>2.5</v>
      </c>
      <c r="AR27" s="9" t="str">
        <f t="shared" si="17"/>
        <v>Minors</v>
      </c>
      <c r="AS27" s="6">
        <f t="shared" si="18"/>
        <v>3.1666666666666665</v>
      </c>
      <c r="AT27" s="6" t="str">
        <f t="shared" si="19"/>
        <v>Minors</v>
      </c>
      <c r="AU27" s="9">
        <f t="shared" si="20"/>
        <v>3.1666666666666665</v>
      </c>
      <c r="AV27" s="9" t="str">
        <f t="shared" si="21"/>
        <v>Minors</v>
      </c>
      <c r="AW27" s="53">
        <f t="shared" si="22"/>
        <v>0</v>
      </c>
      <c r="AX27" s="268">
        <f t="shared" si="23"/>
        <v>0</v>
      </c>
      <c r="AY27" s="268">
        <f t="shared" si="24"/>
        <v>0</v>
      </c>
      <c r="AZ27" s="268">
        <f t="shared" si="25"/>
        <v>0</v>
      </c>
      <c r="BA27" s="268">
        <f t="shared" si="26"/>
        <v>0</v>
      </c>
      <c r="BB27" s="268">
        <f t="shared" si="27"/>
        <v>0</v>
      </c>
      <c r="BC27" s="268">
        <f t="shared" si="28"/>
        <v>0</v>
      </c>
      <c r="BD27" s="268">
        <f t="shared" si="29"/>
        <v>0</v>
      </c>
      <c r="BE27" s="269">
        <f t="shared" si="30"/>
        <v>0</v>
      </c>
      <c r="BF27" s="53">
        <f t="shared" si="31"/>
        <v>0</v>
      </c>
      <c r="BG27" s="268">
        <f t="shared" si="32"/>
        <v>0</v>
      </c>
      <c r="BH27" s="268">
        <f t="shared" si="33"/>
        <v>0</v>
      </c>
      <c r="BI27" s="268">
        <f t="shared" si="34"/>
        <v>0</v>
      </c>
      <c r="BJ27" s="268">
        <f t="shared" si="35"/>
        <v>0</v>
      </c>
      <c r="BK27" s="268">
        <f t="shared" si="36"/>
        <v>0</v>
      </c>
      <c r="BL27" s="268">
        <f t="shared" si="37"/>
        <v>0</v>
      </c>
      <c r="BM27" s="268">
        <f t="shared" si="38"/>
        <v>0</v>
      </c>
      <c r="BN27" s="269">
        <f t="shared" si="39"/>
        <v>0</v>
      </c>
      <c r="BO27" s="269">
        <f t="shared" si="40"/>
        <v>1</v>
      </c>
      <c r="BP27" s="7">
        <f t="shared" si="41"/>
        <v>2</v>
      </c>
      <c r="BQ27" t="str">
        <f t="shared" si="42"/>
        <v/>
      </c>
      <c r="BR27" s="91">
        <f>IF(Q27="-","-",VLOOKUP($G27,CTBat!$G$10:$AN$184,BR$9,FALSE)-Q27)</f>
        <v>0</v>
      </c>
      <c r="BS27" s="91">
        <f>IF(R27="-","-",VLOOKUP($G27,CTBat!$G$10:$AN$184,BS$9,FALSE)-R27)</f>
        <v>0</v>
      </c>
      <c r="BT27" s="91">
        <f>IF(S27="-","-",VLOOKUP($G27,CTBat!$G$10:$AN$184,BT$9,FALSE)-S27)</f>
        <v>1</v>
      </c>
      <c r="BU27" s="91">
        <f>IF(T27="-","-",VLOOKUP($G27,CTBat!$G$10:$AN$184,BU$9,FALSE)-T27)</f>
        <v>0</v>
      </c>
      <c r="BV27" s="91">
        <f>IF(U27="-","-",VLOOKUP($G27,CTBat!$G$10:$AN$184,BV$9,FALSE)-U27)</f>
        <v>0</v>
      </c>
      <c r="BW27" s="91">
        <f>IF(V27="-","-",VLOOKUP($G27,CTBat!$G$10:$AN$184,BW$9,FALSE)-V27)</f>
        <v>0</v>
      </c>
      <c r="BX27" s="91">
        <f>IF(W27="-","-",VLOOKUP($G27,CTBat!$G$10:$AN$184,BX$9,FALSE)-W27)</f>
        <v>1</v>
      </c>
      <c r="BY27" s="91">
        <f>IF(X27="-","-",VLOOKUP($G27,CTBat!$G$10:$AN$184,BY$9,FALSE)-X27)</f>
        <v>0</v>
      </c>
      <c r="BZ27" s="91">
        <f>IF(Y27="-","-",VLOOKUP($G27,CTBat!$G$10:$AN$184,BZ$9,FALSE)-Y27)</f>
        <v>0</v>
      </c>
      <c r="CA27" s="91">
        <f>IF(Z27="-","-",VLOOKUP($G27,CTBat!$G$10:$AN$184,CA$9,FALSE)-Z27)</f>
        <v>0</v>
      </c>
      <c r="CB27" s="91">
        <f>IF(AA27="-","-",VLOOKUP($G27,CTBat!$G$10:$AN$184,CB$9,FALSE)-AA27)</f>
        <v>0</v>
      </c>
      <c r="CC27" s="91">
        <f>IF(AB27="-","-",VLOOKUP($G27,CTBat!$G$10:$AN$184,CC$9,FALSE)-AB27)</f>
        <v>0</v>
      </c>
      <c r="CD27" s="91">
        <f>IF(AC27="-","-",VLOOKUP($G27,CTBat!$G$10:$AN$184,CD$9,FALSE)-AC27)</f>
        <v>0</v>
      </c>
      <c r="CE27" s="91" t="str">
        <f>IF(AD27="-","-",VLOOKUP($G27,CTBat!$G$10:$AN$184,CE$9,FALSE)-AD27)</f>
        <v>-</v>
      </c>
      <c r="CF27" s="91">
        <f>IF(AE27="-","-",VLOOKUP($G27,CTBat!$G$10:$AN$184,CF$9,FALSE)-AE27)</f>
        <v>0</v>
      </c>
      <c r="CG27" s="91">
        <f>IF(AF27="-","-",VLOOKUP($G27,CTBat!$G$10:$AN$184,CG$9,FALSE)-AF27)</f>
        <v>0</v>
      </c>
      <c r="CH27" s="91">
        <f>IF(AG27="-","-",VLOOKUP($G27,CTBat!$G$10:$AN$184,CH$9,FALSE)-AG27)</f>
        <v>0</v>
      </c>
      <c r="CI27" s="91">
        <f>IF(AH27="-","-",VLOOKUP($G27,CTBat!$G$10:$AN$184,CI$9,FALSE)-AH27)</f>
        <v>0</v>
      </c>
      <c r="CJ27" s="91" t="str">
        <f>IF(AI27="-","-",VLOOKUP($G27,CTBat!$G$10:$AN$184,CJ$9,FALSE)-AI27)</f>
        <v>-</v>
      </c>
      <c r="CK27" s="91" t="str">
        <f>IF(AJ27="-","-",VLOOKUP($G27,CTBat!$G$10:$AN$184,CK$9,FALSE)-AJ27)</f>
        <v>-</v>
      </c>
      <c r="CL27" s="91" t="str">
        <f>IF(AK27="-","-",VLOOKUP($G27,CTBat!$G$10:$AN$184,CL$9,FALSE)-AK27)</f>
        <v>-</v>
      </c>
      <c r="CM27" s="91">
        <f>IF(AL27="-","-",VLOOKUP($G27,CTBat!$G$10:$AN$184,CM$9,FALSE)-AL27)</f>
        <v>0</v>
      </c>
      <c r="CN27" s="91">
        <f>IF(AM27="-","-",VLOOKUP($G27,CTBat!$G$10:$AN$184,CN$9,FALSE)-AM27)</f>
        <v>0</v>
      </c>
      <c r="CO27" s="91">
        <f>IF(AN27="-","-",VLOOKUP($G27,CTBat!$G$10:$AN$184,CO$9,FALSE)-AN27)</f>
        <v>0</v>
      </c>
      <c r="CP27" s="91">
        <f t="shared" si="43"/>
        <v>1</v>
      </c>
      <c r="CQ27" s="91">
        <f t="shared" si="44"/>
        <v>1</v>
      </c>
      <c r="CR27" s="91">
        <f t="shared" si="45"/>
        <v>0</v>
      </c>
      <c r="CS27" s="91">
        <f t="shared" si="46"/>
        <v>0</v>
      </c>
      <c r="CT27" s="91">
        <f t="shared" si="47"/>
        <v>2</v>
      </c>
    </row>
    <row r="28" spans="1:98" s="103" customFormat="1">
      <c r="A28"/>
      <c r="B28"/>
      <c r="C28" t="str">
        <f t="shared" si="13"/>
        <v>-</v>
      </c>
      <c r="D28" t="str">
        <f t="shared" si="14"/>
        <v>-</v>
      </c>
      <c r="E28" t="str">
        <f t="shared" si="15"/>
        <v>K</v>
      </c>
      <c r="F28" t="s">
        <v>99</v>
      </c>
      <c r="G28" t="s">
        <v>400</v>
      </c>
      <c r="H28" t="s">
        <v>373</v>
      </c>
      <c r="I28" t="s">
        <v>210</v>
      </c>
      <c r="J28">
        <v>24</v>
      </c>
      <c r="K28" t="s">
        <v>104</v>
      </c>
      <c r="L28" t="s">
        <v>104</v>
      </c>
      <c r="M28" t="s">
        <v>47</v>
      </c>
      <c r="N28" s="3" t="s">
        <v>47</v>
      </c>
      <c r="O28" t="s">
        <v>224</v>
      </c>
      <c r="P28" s="3" t="s">
        <v>227</v>
      </c>
      <c r="Q28">
        <v>5</v>
      </c>
      <c r="R28">
        <v>2</v>
      </c>
      <c r="S28">
        <v>1</v>
      </c>
      <c r="T28">
        <v>2</v>
      </c>
      <c r="U28" s="3">
        <v>4</v>
      </c>
      <c r="V28">
        <v>5</v>
      </c>
      <c r="W28">
        <v>2</v>
      </c>
      <c r="X28">
        <v>1</v>
      </c>
      <c r="Y28">
        <v>2</v>
      </c>
      <c r="Z28" s="3">
        <v>4</v>
      </c>
      <c r="AA28">
        <v>6</v>
      </c>
      <c r="AB28">
        <v>8</v>
      </c>
      <c r="AC28">
        <v>1</v>
      </c>
      <c r="AD28" t="s">
        <v>41</v>
      </c>
      <c r="AE28">
        <v>4</v>
      </c>
      <c r="AF28" t="s">
        <v>41</v>
      </c>
      <c r="AG28">
        <v>1</v>
      </c>
      <c r="AH28" t="s">
        <v>41</v>
      </c>
      <c r="AI28">
        <v>9</v>
      </c>
      <c r="AJ28">
        <v>10</v>
      </c>
      <c r="AK28" s="3">
        <v>10</v>
      </c>
      <c r="AL28">
        <v>5</v>
      </c>
      <c r="AM28">
        <v>4</v>
      </c>
      <c r="AN28" s="3">
        <v>4</v>
      </c>
      <c r="AO28" s="85" t="s">
        <v>41</v>
      </c>
      <c r="AP28" s="3">
        <v>0</v>
      </c>
      <c r="AQ28" s="6">
        <f t="shared" si="16"/>
        <v>2.1666666666666665</v>
      </c>
      <c r="AR28" s="9" t="str">
        <f t="shared" si="17"/>
        <v>Minors</v>
      </c>
      <c r="AS28" s="6">
        <f t="shared" si="18"/>
        <v>2.1666666666666665</v>
      </c>
      <c r="AT28" s="6" t="str">
        <f t="shared" si="19"/>
        <v>Minors</v>
      </c>
      <c r="AU28" s="9">
        <f t="shared" si="20"/>
        <v>2.1666666666666665</v>
      </c>
      <c r="AV28" s="9" t="str">
        <f t="shared" si="21"/>
        <v>Minors</v>
      </c>
      <c r="AW28" s="53">
        <f t="shared" si="22"/>
        <v>0</v>
      </c>
      <c r="AX28" s="5">
        <f t="shared" si="23"/>
        <v>0</v>
      </c>
      <c r="AY28" s="5">
        <f t="shared" si="24"/>
        <v>0</v>
      </c>
      <c r="AZ28" s="5">
        <f t="shared" si="25"/>
        <v>0</v>
      </c>
      <c r="BA28" s="5">
        <f t="shared" si="26"/>
        <v>0</v>
      </c>
      <c r="BB28" s="5">
        <f t="shared" si="27"/>
        <v>0</v>
      </c>
      <c r="BC28" s="5">
        <f t="shared" si="28"/>
        <v>0</v>
      </c>
      <c r="BD28" s="5">
        <f t="shared" si="29"/>
        <v>0</v>
      </c>
      <c r="BE28" s="3">
        <f t="shared" si="30"/>
        <v>0</v>
      </c>
      <c r="BF28" s="53">
        <f t="shared" si="31"/>
        <v>0</v>
      </c>
      <c r="BG28" s="5">
        <f t="shared" si="32"/>
        <v>0</v>
      </c>
      <c r="BH28" s="5">
        <f t="shared" si="33"/>
        <v>0</v>
      </c>
      <c r="BI28" s="5">
        <f t="shared" si="34"/>
        <v>0</v>
      </c>
      <c r="BJ28" s="5">
        <f t="shared" si="35"/>
        <v>0</v>
      </c>
      <c r="BK28" s="5">
        <f t="shared" si="36"/>
        <v>0</v>
      </c>
      <c r="BL28" s="5">
        <f t="shared" si="37"/>
        <v>0</v>
      </c>
      <c r="BM28" s="5">
        <f t="shared" si="38"/>
        <v>0</v>
      </c>
      <c r="BN28" s="3">
        <f t="shared" si="39"/>
        <v>0</v>
      </c>
      <c r="BO28" s="3">
        <f t="shared" si="40"/>
        <v>0</v>
      </c>
      <c r="BP28" s="7">
        <f t="shared" si="41"/>
        <v>2</v>
      </c>
      <c r="BQ28" t="str">
        <f t="shared" si="42"/>
        <v/>
      </c>
      <c r="BR28" s="91">
        <f>IF(Q28="-","-",VLOOKUP($G28,CTBat!$G$10:$AN$184,BR$9,FALSE)-Q28)</f>
        <v>0</v>
      </c>
      <c r="BS28" s="91">
        <f>IF(R28="-","-",VLOOKUP($G28,CTBat!$G$10:$AN$184,BS$9,FALSE)-R28)</f>
        <v>0</v>
      </c>
      <c r="BT28" s="91">
        <f>IF(S28="-","-",VLOOKUP($G28,CTBat!$G$10:$AN$184,BT$9,FALSE)-S28)</f>
        <v>0</v>
      </c>
      <c r="BU28" s="91">
        <f>IF(T28="-","-",VLOOKUP($G28,CTBat!$G$10:$AN$184,BU$9,FALSE)-T28)</f>
        <v>0</v>
      </c>
      <c r="BV28" s="91">
        <f>IF(U28="-","-",VLOOKUP($G28,CTBat!$G$10:$AN$184,BV$9,FALSE)-U28)</f>
        <v>0</v>
      </c>
      <c r="BW28" s="91">
        <f>IF(V28="-","-",VLOOKUP($G28,CTBat!$G$10:$AN$184,BW$9,FALSE)-V28)</f>
        <v>0</v>
      </c>
      <c r="BX28" s="91">
        <f>IF(W28="-","-",VLOOKUP($G28,CTBat!$G$10:$AN$184,BX$9,FALSE)-W28)</f>
        <v>0</v>
      </c>
      <c r="BY28" s="91">
        <f>IF(X28="-","-",VLOOKUP($G28,CTBat!$G$10:$AN$184,BY$9,FALSE)-X28)</f>
        <v>0</v>
      </c>
      <c r="BZ28" s="91">
        <f>IF(Y28="-","-",VLOOKUP($G28,CTBat!$G$10:$AN$184,BZ$9,FALSE)-Y28)</f>
        <v>1</v>
      </c>
      <c r="CA28" s="91">
        <f>IF(Z28="-","-",VLOOKUP($G28,CTBat!$G$10:$AN$184,CA$9,FALSE)-Z28)</f>
        <v>1</v>
      </c>
      <c r="CB28" s="91">
        <f>IF(AA28="-","-",VLOOKUP($G28,CTBat!$G$10:$AN$184,CB$9,FALSE)-AA28)</f>
        <v>0</v>
      </c>
      <c r="CC28" s="91">
        <f>IF(AB28="-","-",VLOOKUP($G28,CTBat!$G$10:$AN$184,CC$9,FALSE)-AB28)</f>
        <v>0</v>
      </c>
      <c r="CD28" s="91">
        <f>IF(AC28="-","-",VLOOKUP($G28,CTBat!$G$10:$AN$184,CD$9,FALSE)-AC28)</f>
        <v>0</v>
      </c>
      <c r="CE28" s="91" t="str">
        <f>IF(AD28="-","-",VLOOKUP($G28,CTBat!$G$10:$AN$184,CE$9,FALSE)-AD28)</f>
        <v>-</v>
      </c>
      <c r="CF28" s="91">
        <f>IF(AE28="-","-",VLOOKUP($G28,CTBat!$G$10:$AN$184,CF$9,FALSE)-AE28)</f>
        <v>0</v>
      </c>
      <c r="CG28" s="91" t="str">
        <f>IF(AF28="-","-",VLOOKUP($G28,CTBat!$G$10:$AN$184,CG$9,FALSE)-AF28)</f>
        <v>-</v>
      </c>
      <c r="CH28" s="91">
        <f>IF(AG28="-","-",VLOOKUP($G28,CTBat!$G$10:$AN$184,CH$9,FALSE)-AG28)</f>
        <v>0</v>
      </c>
      <c r="CI28" s="91" t="str">
        <f>IF(AH28="-","-",VLOOKUP($G28,CTBat!$G$10:$AN$184,CI$9,FALSE)-AH28)</f>
        <v>-</v>
      </c>
      <c r="CJ28" s="91">
        <f>IF(AI28="-","-",VLOOKUP($G28,CTBat!$G$10:$AN$184,CJ$9,FALSE)-AI28)</f>
        <v>0</v>
      </c>
      <c r="CK28" s="91">
        <f>IF(AJ28="-","-",VLOOKUP($G28,CTBat!$G$10:$AN$184,CK$9,FALSE)-AJ28)</f>
        <v>0</v>
      </c>
      <c r="CL28" s="91">
        <f>IF(AK28="-","-",VLOOKUP($G28,CTBat!$G$10:$AN$184,CL$9,FALSE)-AK28)</f>
        <v>0</v>
      </c>
      <c r="CM28" s="91">
        <f>IF(AL28="-","-",VLOOKUP($G28,CTBat!$G$10:$AN$184,CM$9,FALSE)-AL28)</f>
        <v>0</v>
      </c>
      <c r="CN28" s="91">
        <f>IF(AM28="-","-",VLOOKUP($G28,CTBat!$G$10:$AN$184,CN$9,FALSE)-AM28)</f>
        <v>0</v>
      </c>
      <c r="CO28" s="91">
        <f>IF(AN28="-","-",VLOOKUP($G28,CTBat!$G$10:$AN$184,CO$9,FALSE)-AN28)</f>
        <v>0</v>
      </c>
      <c r="CP28" s="91">
        <f t="shared" si="43"/>
        <v>0</v>
      </c>
      <c r="CQ28" s="91">
        <f t="shared" si="44"/>
        <v>2</v>
      </c>
      <c r="CR28" s="91">
        <f t="shared" si="45"/>
        <v>0</v>
      </c>
      <c r="CS28" s="91">
        <f t="shared" si="46"/>
        <v>0</v>
      </c>
      <c r="CT28" s="91">
        <f t="shared" si="47"/>
        <v>2</v>
      </c>
    </row>
    <row r="29" spans="1:98">
      <c r="C29" s="105">
        <f t="shared" si="13"/>
        <v>3</v>
      </c>
      <c r="D29" s="105">
        <f t="shared" si="14"/>
        <v>3</v>
      </c>
      <c r="E29" s="105" t="str">
        <f t="shared" si="15"/>
        <v>K</v>
      </c>
      <c r="F29" t="s">
        <v>97</v>
      </c>
      <c r="G29" t="s">
        <v>43</v>
      </c>
      <c r="H29" t="s">
        <v>25</v>
      </c>
      <c r="I29" t="s">
        <v>207</v>
      </c>
      <c r="J29">
        <v>30</v>
      </c>
      <c r="K29" t="s">
        <v>103</v>
      </c>
      <c r="L29" t="s">
        <v>104</v>
      </c>
      <c r="M29" t="s">
        <v>44</v>
      </c>
      <c r="N29" s="3" t="s">
        <v>44</v>
      </c>
      <c r="O29" t="s">
        <v>224</v>
      </c>
      <c r="P29" s="3" t="s">
        <v>223</v>
      </c>
      <c r="Q29">
        <v>8</v>
      </c>
      <c r="R29">
        <v>8</v>
      </c>
      <c r="S29">
        <v>10</v>
      </c>
      <c r="T29">
        <v>7</v>
      </c>
      <c r="U29" s="3">
        <v>4</v>
      </c>
      <c r="V29">
        <v>8</v>
      </c>
      <c r="W29">
        <v>8</v>
      </c>
      <c r="X29">
        <v>10</v>
      </c>
      <c r="Y29">
        <v>7</v>
      </c>
      <c r="Z29" s="3">
        <v>4</v>
      </c>
      <c r="AA29">
        <v>8</v>
      </c>
      <c r="AB29">
        <v>1</v>
      </c>
      <c r="AC29">
        <v>1</v>
      </c>
      <c r="AD29" t="s">
        <v>41</v>
      </c>
      <c r="AE29" t="s">
        <v>41</v>
      </c>
      <c r="AF29">
        <v>2</v>
      </c>
      <c r="AG29">
        <v>8</v>
      </c>
      <c r="AH29">
        <v>7</v>
      </c>
      <c r="AI29" t="s">
        <v>41</v>
      </c>
      <c r="AJ29" t="s">
        <v>41</v>
      </c>
      <c r="AK29" s="3" t="s">
        <v>41</v>
      </c>
      <c r="AL29">
        <v>2</v>
      </c>
      <c r="AM29">
        <v>4</v>
      </c>
      <c r="AN29" s="3">
        <v>3</v>
      </c>
      <c r="AO29">
        <v>11500000</v>
      </c>
      <c r="AP29" s="3">
        <v>2</v>
      </c>
      <c r="AQ29" s="6">
        <f t="shared" si="16"/>
        <v>9.0833333333333339</v>
      </c>
      <c r="AR29" s="9" t="str">
        <f t="shared" si="17"/>
        <v>SuperStar</v>
      </c>
      <c r="AS29" s="6">
        <f t="shared" si="18"/>
        <v>9.0833333333333339</v>
      </c>
      <c r="AT29" s="6" t="str">
        <f t="shared" si="19"/>
        <v>SuperStar</v>
      </c>
      <c r="AU29" s="9">
        <f t="shared" si="20"/>
        <v>9.0833333333333339</v>
      </c>
      <c r="AV29" s="9" t="str">
        <f t="shared" si="21"/>
        <v>SuperStar</v>
      </c>
      <c r="AW29" s="53">
        <f t="shared" si="22"/>
        <v>0</v>
      </c>
      <c r="AX29" s="5">
        <f t="shared" si="23"/>
        <v>1</v>
      </c>
      <c r="AY29" s="5">
        <f t="shared" si="24"/>
        <v>1</v>
      </c>
      <c r="AZ29" s="5">
        <f t="shared" si="25"/>
        <v>1</v>
      </c>
      <c r="BA29" s="5">
        <f t="shared" si="26"/>
        <v>1</v>
      </c>
      <c r="BB29" s="5">
        <f t="shared" si="27"/>
        <v>1</v>
      </c>
      <c r="BC29" s="5">
        <f t="shared" si="28"/>
        <v>1</v>
      </c>
      <c r="BD29" s="5">
        <f t="shared" si="29"/>
        <v>1</v>
      </c>
      <c r="BE29" s="3">
        <f t="shared" si="30"/>
        <v>1</v>
      </c>
      <c r="BF29" s="53">
        <f t="shared" si="31"/>
        <v>0</v>
      </c>
      <c r="BG29" s="5">
        <f t="shared" si="32"/>
        <v>1</v>
      </c>
      <c r="BH29" s="5">
        <f t="shared" si="33"/>
        <v>1</v>
      </c>
      <c r="BI29" s="5">
        <f t="shared" si="34"/>
        <v>1</v>
      </c>
      <c r="BJ29" s="5">
        <f t="shared" si="35"/>
        <v>1</v>
      </c>
      <c r="BK29" s="5">
        <f t="shared" si="36"/>
        <v>1</v>
      </c>
      <c r="BL29" s="5">
        <f t="shared" si="37"/>
        <v>1</v>
      </c>
      <c r="BM29" s="5">
        <f t="shared" si="38"/>
        <v>1</v>
      </c>
      <c r="BN29" s="3">
        <f t="shared" si="39"/>
        <v>1</v>
      </c>
      <c r="BO29" s="3">
        <f t="shared" si="40"/>
        <v>0</v>
      </c>
      <c r="BP29" s="7">
        <f t="shared" si="41"/>
        <v>2</v>
      </c>
      <c r="BQ29" t="str">
        <f t="shared" si="42"/>
        <v/>
      </c>
      <c r="BR29" s="91">
        <f>IF(Q29="-","-",VLOOKUP($G29,CTBat!$G$10:$AN$184,BR$9,FALSE)-Q29)</f>
        <v>0</v>
      </c>
      <c r="BS29" s="91">
        <f>IF(R29="-","-",VLOOKUP($G29,CTBat!$G$10:$AN$184,BS$9,FALSE)-R29)</f>
        <v>0</v>
      </c>
      <c r="BT29" s="91">
        <f>IF(S29="-","-",VLOOKUP($G29,CTBat!$G$10:$AN$184,BT$9,FALSE)-S29)</f>
        <v>0</v>
      </c>
      <c r="BU29" s="91">
        <f>IF(T29="-","-",VLOOKUP($G29,CTBat!$G$10:$AN$184,BU$9,FALSE)-T29)</f>
        <v>0</v>
      </c>
      <c r="BV29" s="91">
        <f>IF(U29="-","-",VLOOKUP($G29,CTBat!$G$10:$AN$184,BV$9,FALSE)-U29)</f>
        <v>0</v>
      </c>
      <c r="BW29" s="91">
        <f>IF(V29="-","-",VLOOKUP($G29,CTBat!$G$10:$AN$184,BW$9,FALSE)-V29)</f>
        <v>0</v>
      </c>
      <c r="BX29" s="91">
        <f>IF(W29="-","-",VLOOKUP($G29,CTBat!$G$10:$AN$184,BX$9,FALSE)-W29)</f>
        <v>0</v>
      </c>
      <c r="BY29" s="91">
        <f>IF(X29="-","-",VLOOKUP($G29,CTBat!$G$10:$AN$184,BY$9,FALSE)-X29)</f>
        <v>0</v>
      </c>
      <c r="BZ29" s="91">
        <f>IF(Y29="-","-",VLOOKUP($G29,CTBat!$G$10:$AN$184,BZ$9,FALSE)-Y29)</f>
        <v>1</v>
      </c>
      <c r="CA29" s="91">
        <f>IF(Z29="-","-",VLOOKUP($G29,CTBat!$G$10:$AN$184,CA$9,FALSE)-Z29)</f>
        <v>0</v>
      </c>
      <c r="CB29" s="91">
        <f>IF(AA29="-","-",VLOOKUP($G29,CTBat!$G$10:$AN$184,CB$9,FALSE)-AA29)</f>
        <v>0</v>
      </c>
      <c r="CC29" s="91">
        <f>IF(AB29="-","-",VLOOKUP($G29,CTBat!$G$10:$AN$184,CC$9,FALSE)-AB29)</f>
        <v>0</v>
      </c>
      <c r="CD29" s="91">
        <f>IF(AC29="-","-",VLOOKUP($G29,CTBat!$G$10:$AN$184,CD$9,FALSE)-AC29)</f>
        <v>0</v>
      </c>
      <c r="CE29" s="91" t="str">
        <f>IF(AD29="-","-",VLOOKUP($G29,CTBat!$G$10:$AN$184,CE$9,FALSE)-AD29)</f>
        <v>-</v>
      </c>
      <c r="CF29" s="91" t="str">
        <f>IF(AE29="-","-",VLOOKUP($G29,CTBat!$G$10:$AN$184,CF$9,FALSE)-AE29)</f>
        <v>-</v>
      </c>
      <c r="CG29" s="91">
        <f>IF(AF29="-","-",VLOOKUP($G29,CTBat!$G$10:$AN$184,CG$9,FALSE)-AF29)</f>
        <v>0</v>
      </c>
      <c r="CH29" s="91">
        <f>IF(AG29="-","-",VLOOKUP($G29,CTBat!$G$10:$AN$184,CH$9,FALSE)-AG29)</f>
        <v>0</v>
      </c>
      <c r="CI29" s="91">
        <f>IF(AH29="-","-",VLOOKUP($G29,CTBat!$G$10:$AN$184,CI$9,FALSE)-AH29)</f>
        <v>0</v>
      </c>
      <c r="CJ29" s="91" t="str">
        <f>IF(AI29="-","-",VLOOKUP($G29,CTBat!$G$10:$AN$184,CJ$9,FALSE)-AI29)</f>
        <v>-</v>
      </c>
      <c r="CK29" s="91" t="str">
        <f>IF(AJ29="-","-",VLOOKUP($G29,CTBat!$G$10:$AN$184,CK$9,FALSE)-AJ29)</f>
        <v>-</v>
      </c>
      <c r="CL29" s="91" t="str">
        <f>IF(AK29="-","-",VLOOKUP($G29,CTBat!$G$10:$AN$184,CL$9,FALSE)-AK29)</f>
        <v>-</v>
      </c>
      <c r="CM29" s="91">
        <f>IF(AL29="-","-",VLOOKUP($G29,CTBat!$G$10:$AN$184,CM$9,FALSE)-AL29)</f>
        <v>0</v>
      </c>
      <c r="CN29" s="91">
        <f>IF(AM29="-","-",VLOOKUP($G29,CTBat!$G$10:$AN$184,CN$9,FALSE)-AM29)</f>
        <v>0</v>
      </c>
      <c r="CO29" s="91">
        <f>IF(AN29="-","-",VLOOKUP($G29,CTBat!$G$10:$AN$184,CO$9,FALSE)-AN29)</f>
        <v>0</v>
      </c>
      <c r="CP29" s="91">
        <f t="shared" si="43"/>
        <v>0</v>
      </c>
      <c r="CQ29" s="91">
        <f t="shared" si="44"/>
        <v>1</v>
      </c>
      <c r="CR29" s="91">
        <f t="shared" si="45"/>
        <v>0</v>
      </c>
      <c r="CS29" s="91">
        <f t="shared" si="46"/>
        <v>0</v>
      </c>
      <c r="CT29" s="91">
        <f t="shared" si="47"/>
        <v>1</v>
      </c>
    </row>
    <row r="30" spans="1:98">
      <c r="C30">
        <f t="shared" si="13"/>
        <v>3</v>
      </c>
      <c r="D30">
        <f t="shared" si="14"/>
        <v>2</v>
      </c>
      <c r="E30" t="str">
        <f t="shared" si="15"/>
        <v>K</v>
      </c>
      <c r="F30" t="s">
        <v>94</v>
      </c>
      <c r="G30" t="s">
        <v>440</v>
      </c>
      <c r="H30" t="s">
        <v>371</v>
      </c>
      <c r="I30" t="s">
        <v>208</v>
      </c>
      <c r="J30">
        <v>23</v>
      </c>
      <c r="K30" t="s">
        <v>104</v>
      </c>
      <c r="L30" t="s">
        <v>104</v>
      </c>
      <c r="M30" t="s">
        <v>47</v>
      </c>
      <c r="N30" s="240" t="s">
        <v>44</v>
      </c>
      <c r="O30" t="s">
        <v>224</v>
      </c>
      <c r="P30" s="240" t="s">
        <v>223</v>
      </c>
      <c r="Q30">
        <v>7</v>
      </c>
      <c r="R30">
        <v>6</v>
      </c>
      <c r="S30">
        <v>5</v>
      </c>
      <c r="T30">
        <v>8</v>
      </c>
      <c r="U30" s="240">
        <v>8</v>
      </c>
      <c r="V30">
        <v>8</v>
      </c>
      <c r="W30">
        <v>6</v>
      </c>
      <c r="X30">
        <v>8</v>
      </c>
      <c r="Y30">
        <v>9</v>
      </c>
      <c r="Z30" s="240">
        <v>9</v>
      </c>
      <c r="AA30">
        <v>5</v>
      </c>
      <c r="AB30">
        <v>3</v>
      </c>
      <c r="AC30">
        <v>1</v>
      </c>
      <c r="AD30" t="s">
        <v>41</v>
      </c>
      <c r="AE30">
        <v>7</v>
      </c>
      <c r="AF30" t="s">
        <v>41</v>
      </c>
      <c r="AG30" t="s">
        <v>41</v>
      </c>
      <c r="AH30" t="s">
        <v>41</v>
      </c>
      <c r="AI30" t="s">
        <v>41</v>
      </c>
      <c r="AJ30" t="s">
        <v>41</v>
      </c>
      <c r="AK30" s="240" t="s">
        <v>41</v>
      </c>
      <c r="AL30">
        <v>5</v>
      </c>
      <c r="AM30">
        <v>5</v>
      </c>
      <c r="AN30" s="240">
        <v>4</v>
      </c>
      <c r="AO30" s="85" t="s">
        <v>41</v>
      </c>
      <c r="AP30" s="240">
        <v>0</v>
      </c>
      <c r="AQ30" s="6">
        <f t="shared" si="16"/>
        <v>7.166666666666667</v>
      </c>
      <c r="AR30" s="9" t="str">
        <f t="shared" si="17"/>
        <v>GoodReg</v>
      </c>
      <c r="AS30" s="6">
        <f t="shared" si="18"/>
        <v>9.0833333333333339</v>
      </c>
      <c r="AT30" s="6" t="str">
        <f t="shared" si="19"/>
        <v>SuperStar</v>
      </c>
      <c r="AU30" s="9">
        <f t="shared" si="20"/>
        <v>9.0833333333333339</v>
      </c>
      <c r="AV30" s="9" t="str">
        <f t="shared" si="21"/>
        <v>SuperStar</v>
      </c>
      <c r="AW30" s="53">
        <f t="shared" si="22"/>
        <v>0</v>
      </c>
      <c r="AX30" s="239">
        <f t="shared" si="23"/>
        <v>1</v>
      </c>
      <c r="AY30" s="239">
        <f t="shared" si="24"/>
        <v>0</v>
      </c>
      <c r="AZ30" s="239">
        <f t="shared" si="25"/>
        <v>0</v>
      </c>
      <c r="BA30" s="239">
        <f t="shared" si="26"/>
        <v>0</v>
      </c>
      <c r="BB30" s="239">
        <f t="shared" si="27"/>
        <v>1</v>
      </c>
      <c r="BC30" s="239">
        <f t="shared" si="28"/>
        <v>1</v>
      </c>
      <c r="BD30" s="239">
        <f t="shared" si="29"/>
        <v>1</v>
      </c>
      <c r="BE30" s="240">
        <f t="shared" si="30"/>
        <v>1</v>
      </c>
      <c r="BF30" s="53">
        <f t="shared" si="31"/>
        <v>0</v>
      </c>
      <c r="BG30" s="239">
        <f t="shared" si="32"/>
        <v>1</v>
      </c>
      <c r="BH30" s="239">
        <f t="shared" si="33"/>
        <v>1</v>
      </c>
      <c r="BI30" s="239">
        <f t="shared" si="34"/>
        <v>1</v>
      </c>
      <c r="BJ30" s="239">
        <f t="shared" si="35"/>
        <v>1</v>
      </c>
      <c r="BK30" s="239">
        <f t="shared" si="36"/>
        <v>1</v>
      </c>
      <c r="BL30" s="239">
        <f t="shared" si="37"/>
        <v>1</v>
      </c>
      <c r="BM30" s="239">
        <f t="shared" si="38"/>
        <v>1</v>
      </c>
      <c r="BN30" s="240">
        <f t="shared" si="39"/>
        <v>1</v>
      </c>
      <c r="BO30" s="240">
        <f t="shared" si="40"/>
        <v>0</v>
      </c>
      <c r="BP30" s="7">
        <f t="shared" si="41"/>
        <v>2</v>
      </c>
      <c r="BQ30" t="str">
        <f t="shared" si="42"/>
        <v/>
      </c>
      <c r="BR30" s="91">
        <f>IF(Q30="-","-",VLOOKUP($G30,CTBat!$G$10:$AN$184,BR$9,FALSE)-Q30)</f>
        <v>0</v>
      </c>
      <c r="BS30" s="91">
        <f>IF(R30="-","-",VLOOKUP($G30,CTBat!$G$10:$AN$184,BS$9,FALSE)-R30)</f>
        <v>0</v>
      </c>
      <c r="BT30" s="91">
        <f>IF(S30="-","-",VLOOKUP($G30,CTBat!$G$10:$AN$184,BT$9,FALSE)-S30)</f>
        <v>0</v>
      </c>
      <c r="BU30" s="91">
        <f>IF(T30="-","-",VLOOKUP($G30,CTBat!$G$10:$AN$184,BU$9,FALSE)-T30)</f>
        <v>0</v>
      </c>
      <c r="BV30" s="91">
        <f>IF(U30="-","-",VLOOKUP($G30,CTBat!$G$10:$AN$184,BV$9,FALSE)-U30)</f>
        <v>1</v>
      </c>
      <c r="BW30" s="91">
        <f>IF(V30="-","-",VLOOKUP($G30,CTBat!$G$10:$AN$184,BW$9,FALSE)-V30)</f>
        <v>0</v>
      </c>
      <c r="BX30" s="91">
        <f>IF(W30="-","-",VLOOKUP($G30,CTBat!$G$10:$AN$184,BX$9,FALSE)-W30)</f>
        <v>0</v>
      </c>
      <c r="BY30" s="91">
        <f>IF(X30="-","-",VLOOKUP($G30,CTBat!$G$10:$AN$184,BY$9,FALSE)-X30)</f>
        <v>-1</v>
      </c>
      <c r="BZ30" s="91">
        <f>IF(Y30="-","-",VLOOKUP($G30,CTBat!$G$10:$AN$184,BZ$9,FALSE)-Y30)</f>
        <v>1</v>
      </c>
      <c r="CA30" s="91">
        <f>IF(Z30="-","-",VLOOKUP($G30,CTBat!$G$10:$AN$184,CA$9,FALSE)-Z30)</f>
        <v>1</v>
      </c>
      <c r="CB30" s="91">
        <f>IF(AA30="-","-",VLOOKUP($G30,CTBat!$G$10:$AN$184,CB$9,FALSE)-AA30)</f>
        <v>0</v>
      </c>
      <c r="CC30" s="91">
        <f>IF(AB30="-","-",VLOOKUP($G30,CTBat!$G$10:$AN$184,CC$9,FALSE)-AB30)</f>
        <v>0</v>
      </c>
      <c r="CD30" s="91">
        <f>IF(AC30="-","-",VLOOKUP($G30,CTBat!$G$10:$AN$184,CD$9,FALSE)-AC30)</f>
        <v>0</v>
      </c>
      <c r="CE30" s="91" t="str">
        <f>IF(AD30="-","-",VLOOKUP($G30,CTBat!$G$10:$AN$184,CE$9,FALSE)-AD30)</f>
        <v>-</v>
      </c>
      <c r="CF30" s="91">
        <f>IF(AE30="-","-",VLOOKUP($G30,CTBat!$G$10:$AN$184,CF$9,FALSE)-AE30)</f>
        <v>0</v>
      </c>
      <c r="CG30" s="91" t="str">
        <f>IF(AF30="-","-",VLOOKUP($G30,CTBat!$G$10:$AN$184,CG$9,FALSE)-AF30)</f>
        <v>-</v>
      </c>
      <c r="CH30" s="91" t="str">
        <f>IF(AG30="-","-",VLOOKUP($G30,CTBat!$G$10:$AN$184,CH$9,FALSE)-AG30)</f>
        <v>-</v>
      </c>
      <c r="CI30" s="91" t="str">
        <f>IF(AH30="-","-",VLOOKUP($G30,CTBat!$G$10:$AN$184,CI$9,FALSE)-AH30)</f>
        <v>-</v>
      </c>
      <c r="CJ30" s="91" t="str">
        <f>IF(AI30="-","-",VLOOKUP($G30,CTBat!$G$10:$AN$184,CJ$9,FALSE)-AI30)</f>
        <v>-</v>
      </c>
      <c r="CK30" s="91" t="str">
        <f>IF(AJ30="-","-",VLOOKUP($G30,CTBat!$G$10:$AN$184,CK$9,FALSE)-AJ30)</f>
        <v>-</v>
      </c>
      <c r="CL30" s="91" t="str">
        <f>IF(AK30="-","-",VLOOKUP($G30,CTBat!$G$10:$AN$184,CL$9,FALSE)-AK30)</f>
        <v>-</v>
      </c>
      <c r="CM30" s="91">
        <f>IF(AL30="-","-",VLOOKUP($G30,CTBat!$G$10:$AN$184,CM$9,FALSE)-AL30)</f>
        <v>0</v>
      </c>
      <c r="CN30" s="91">
        <f>IF(AM30="-","-",VLOOKUP($G30,CTBat!$G$10:$AN$184,CN$9,FALSE)-AM30)</f>
        <v>0</v>
      </c>
      <c r="CO30" s="91">
        <f>IF(AN30="-","-",VLOOKUP($G30,CTBat!$G$10:$AN$184,CO$9,FALSE)-AN30)</f>
        <v>-1</v>
      </c>
      <c r="CP30" s="91">
        <f t="shared" si="43"/>
        <v>1</v>
      </c>
      <c r="CQ30" s="91">
        <f t="shared" si="44"/>
        <v>1</v>
      </c>
      <c r="CR30" s="91">
        <f t="shared" si="45"/>
        <v>0</v>
      </c>
      <c r="CS30" s="91">
        <f t="shared" si="46"/>
        <v>-1</v>
      </c>
      <c r="CT30" s="91">
        <f t="shared" si="47"/>
        <v>1</v>
      </c>
    </row>
    <row r="31" spans="1:98">
      <c r="C31">
        <f t="shared" si="13"/>
        <v>4</v>
      </c>
      <c r="D31" t="str">
        <f t="shared" si="14"/>
        <v>-</v>
      </c>
      <c r="E31" t="str">
        <f t="shared" si="15"/>
        <v>K</v>
      </c>
      <c r="F31" t="s">
        <v>96</v>
      </c>
      <c r="G31" t="s">
        <v>386</v>
      </c>
      <c r="H31" t="s">
        <v>372</v>
      </c>
      <c r="I31" t="s">
        <v>209</v>
      </c>
      <c r="J31">
        <v>24</v>
      </c>
      <c r="K31" t="s">
        <v>104</v>
      </c>
      <c r="L31" t="s">
        <v>104</v>
      </c>
      <c r="M31" t="s">
        <v>47</v>
      </c>
      <c r="N31" s="215" t="s">
        <v>48</v>
      </c>
      <c r="O31" t="s">
        <v>225</v>
      </c>
      <c r="P31" s="215" t="s">
        <v>226</v>
      </c>
      <c r="Q31">
        <v>6</v>
      </c>
      <c r="R31">
        <v>5</v>
      </c>
      <c r="S31">
        <v>4</v>
      </c>
      <c r="T31">
        <v>3</v>
      </c>
      <c r="U31" s="215">
        <v>3</v>
      </c>
      <c r="V31">
        <v>9</v>
      </c>
      <c r="W31">
        <v>5</v>
      </c>
      <c r="X31">
        <v>8</v>
      </c>
      <c r="Y31">
        <v>5</v>
      </c>
      <c r="Z31" s="215">
        <v>5</v>
      </c>
      <c r="AA31">
        <v>9</v>
      </c>
      <c r="AB31">
        <v>9</v>
      </c>
      <c r="AC31">
        <v>1</v>
      </c>
      <c r="AD31" t="s">
        <v>41</v>
      </c>
      <c r="AE31">
        <v>7</v>
      </c>
      <c r="AF31" t="s">
        <v>41</v>
      </c>
      <c r="AG31">
        <v>8</v>
      </c>
      <c r="AH31" t="s">
        <v>41</v>
      </c>
      <c r="AI31">
        <v>4</v>
      </c>
      <c r="AJ31">
        <v>2</v>
      </c>
      <c r="AK31" s="215">
        <v>4</v>
      </c>
      <c r="AL31">
        <v>2</v>
      </c>
      <c r="AM31">
        <v>5</v>
      </c>
      <c r="AN31" s="215">
        <v>3</v>
      </c>
      <c r="AO31" s="85" t="s">
        <v>41</v>
      </c>
      <c r="AP31" s="215">
        <v>0</v>
      </c>
      <c r="AQ31" s="6">
        <f t="shared" si="16"/>
        <v>4.333333333333333</v>
      </c>
      <c r="AR31" s="9" t="str">
        <f t="shared" si="17"/>
        <v>Bench</v>
      </c>
      <c r="AS31" s="6">
        <f t="shared" si="18"/>
        <v>8.0833333333333321</v>
      </c>
      <c r="AT31" s="6" t="str">
        <f t="shared" si="19"/>
        <v>Star</v>
      </c>
      <c r="AU31" s="9">
        <f t="shared" si="20"/>
        <v>5.333333333333333</v>
      </c>
      <c r="AV31" s="9" t="str">
        <f t="shared" si="21"/>
        <v>Reg</v>
      </c>
      <c r="AW31" s="53">
        <f t="shared" si="22"/>
        <v>0</v>
      </c>
      <c r="AX31" s="214">
        <f t="shared" si="23"/>
        <v>0</v>
      </c>
      <c r="AY31" s="214">
        <f t="shared" si="24"/>
        <v>0</v>
      </c>
      <c r="AZ31" s="214">
        <f t="shared" si="25"/>
        <v>0</v>
      </c>
      <c r="BA31" s="214">
        <f t="shared" si="26"/>
        <v>0</v>
      </c>
      <c r="BB31" s="214">
        <f t="shared" si="27"/>
        <v>0</v>
      </c>
      <c r="BC31" s="214">
        <f t="shared" si="28"/>
        <v>0</v>
      </c>
      <c r="BD31" s="214">
        <f t="shared" si="29"/>
        <v>0</v>
      </c>
      <c r="BE31" s="215">
        <f t="shared" si="30"/>
        <v>0</v>
      </c>
      <c r="BF31" s="53">
        <f t="shared" si="31"/>
        <v>0</v>
      </c>
      <c r="BG31" s="214">
        <f t="shared" si="32"/>
        <v>1</v>
      </c>
      <c r="BH31" s="214">
        <f t="shared" si="33"/>
        <v>0</v>
      </c>
      <c r="BI31" s="214">
        <f t="shared" si="34"/>
        <v>1</v>
      </c>
      <c r="BJ31" s="214">
        <f t="shared" si="35"/>
        <v>1</v>
      </c>
      <c r="BK31" s="214">
        <f t="shared" si="36"/>
        <v>1</v>
      </c>
      <c r="BL31" s="214">
        <f t="shared" si="37"/>
        <v>1</v>
      </c>
      <c r="BM31" s="214">
        <f t="shared" si="38"/>
        <v>1</v>
      </c>
      <c r="BN31" s="215">
        <f t="shared" si="39"/>
        <v>1</v>
      </c>
      <c r="BO31" s="215">
        <f t="shared" si="40"/>
        <v>0</v>
      </c>
      <c r="BP31" s="7">
        <f t="shared" si="41"/>
        <v>2</v>
      </c>
      <c r="BQ31" t="str">
        <f t="shared" si="42"/>
        <v/>
      </c>
      <c r="BR31" s="91">
        <f>IF(Q31="-","-",VLOOKUP($G31,CTBat!$G$10:$AN$184,BR$9,FALSE)-Q31)</f>
        <v>1</v>
      </c>
      <c r="BS31" s="91">
        <f>IF(R31="-","-",VLOOKUP($G31,CTBat!$G$10:$AN$184,BS$9,FALSE)-R31)</f>
        <v>0</v>
      </c>
      <c r="BT31" s="91">
        <f>IF(S31="-","-",VLOOKUP($G31,CTBat!$G$10:$AN$184,BT$9,FALSE)-S31)</f>
        <v>1</v>
      </c>
      <c r="BU31" s="91">
        <f>IF(T31="-","-",VLOOKUP($G31,CTBat!$G$10:$AN$184,BU$9,FALSE)-T31)</f>
        <v>0</v>
      </c>
      <c r="BV31" s="91">
        <f>IF(U31="-","-",VLOOKUP($G31,CTBat!$G$10:$AN$184,BV$9,FALSE)-U31)</f>
        <v>1</v>
      </c>
      <c r="BW31" s="91">
        <f>IF(V31="-","-",VLOOKUP($G31,CTBat!$G$10:$AN$184,BW$9,FALSE)-V31)</f>
        <v>-1</v>
      </c>
      <c r="BX31" s="91">
        <f>IF(W31="-","-",VLOOKUP($G31,CTBat!$G$10:$AN$184,BX$9,FALSE)-W31)</f>
        <v>0</v>
      </c>
      <c r="BY31" s="91">
        <f>IF(X31="-","-",VLOOKUP($G31,CTBat!$G$10:$AN$184,BY$9,FALSE)-X31)</f>
        <v>-1</v>
      </c>
      <c r="BZ31" s="91">
        <f>IF(Y31="-","-",VLOOKUP($G31,CTBat!$G$10:$AN$184,BZ$9,FALSE)-Y31)</f>
        <v>0</v>
      </c>
      <c r="CA31" s="91">
        <f>IF(Z31="-","-",VLOOKUP($G31,CTBat!$G$10:$AN$184,CA$9,FALSE)-Z31)</f>
        <v>0</v>
      </c>
      <c r="CB31" s="91">
        <f>IF(AA31="-","-",VLOOKUP($G31,CTBat!$G$10:$AN$184,CB$9,FALSE)-AA31)</f>
        <v>0</v>
      </c>
      <c r="CC31" s="91">
        <f>IF(AB31="-","-",VLOOKUP($G31,CTBat!$G$10:$AN$184,CC$9,FALSE)-AB31)</f>
        <v>0</v>
      </c>
      <c r="CD31" s="91">
        <f>IF(AC31="-","-",VLOOKUP($G31,CTBat!$G$10:$AN$184,CD$9,FALSE)-AC31)</f>
        <v>0</v>
      </c>
      <c r="CE31" s="91" t="str">
        <f>IF(AD31="-","-",VLOOKUP($G31,CTBat!$G$10:$AN$184,CE$9,FALSE)-AD31)</f>
        <v>-</v>
      </c>
      <c r="CF31" s="91">
        <f>IF(AE31="-","-",VLOOKUP($G31,CTBat!$G$10:$AN$184,CF$9,FALSE)-AE31)</f>
        <v>0</v>
      </c>
      <c r="CG31" s="91" t="str">
        <f>IF(AF31="-","-",VLOOKUP($G31,CTBat!$G$10:$AN$184,CG$9,FALSE)-AF31)</f>
        <v>-</v>
      </c>
      <c r="CH31" s="91">
        <f>IF(AG31="-","-",VLOOKUP($G31,CTBat!$G$10:$AN$184,CH$9,FALSE)-AG31)</f>
        <v>0</v>
      </c>
      <c r="CI31" s="91" t="str">
        <f>IF(AH31="-","-",VLOOKUP($G31,CTBat!$G$10:$AN$184,CI$9,FALSE)-AH31)</f>
        <v>-</v>
      </c>
      <c r="CJ31" s="91">
        <f>IF(AI31="-","-",VLOOKUP($G31,CTBat!$G$10:$AN$184,CJ$9,FALSE)-AI31)</f>
        <v>0</v>
      </c>
      <c r="CK31" s="91">
        <f>IF(AJ31="-","-",VLOOKUP($G31,CTBat!$G$10:$AN$184,CK$9,FALSE)-AJ31)</f>
        <v>0</v>
      </c>
      <c r="CL31" s="91">
        <f>IF(AK31="-","-",VLOOKUP($G31,CTBat!$G$10:$AN$184,CL$9,FALSE)-AK31)</f>
        <v>0</v>
      </c>
      <c r="CM31" s="91">
        <f>IF(AL31="-","-",VLOOKUP($G31,CTBat!$G$10:$AN$184,CM$9,FALSE)-AL31)</f>
        <v>0</v>
      </c>
      <c r="CN31" s="91">
        <f>IF(AM31="-","-",VLOOKUP($G31,CTBat!$G$10:$AN$184,CN$9,FALSE)-AM31)</f>
        <v>0</v>
      </c>
      <c r="CO31" s="91">
        <f>IF(AN31="-","-",VLOOKUP($G31,CTBat!$G$10:$AN$184,CO$9,FALSE)-AN31)</f>
        <v>0</v>
      </c>
      <c r="CP31" s="91">
        <f t="shared" si="43"/>
        <v>3</v>
      </c>
      <c r="CQ31" s="91">
        <f t="shared" si="44"/>
        <v>-2</v>
      </c>
      <c r="CR31" s="91">
        <f t="shared" si="45"/>
        <v>0</v>
      </c>
      <c r="CS31" s="91">
        <f t="shared" si="46"/>
        <v>0</v>
      </c>
      <c r="CT31" s="91">
        <f t="shared" si="47"/>
        <v>1</v>
      </c>
    </row>
    <row r="32" spans="1:98">
      <c r="C32">
        <f t="shared" si="13"/>
        <v>1</v>
      </c>
      <c r="D32">
        <f t="shared" si="14"/>
        <v>1</v>
      </c>
      <c r="E32" t="str">
        <f t="shared" si="15"/>
        <v>K</v>
      </c>
      <c r="F32" t="s">
        <v>98</v>
      </c>
      <c r="G32" t="s">
        <v>408</v>
      </c>
      <c r="H32" t="s">
        <v>25</v>
      </c>
      <c r="I32" t="s">
        <v>207</v>
      </c>
      <c r="J32">
        <v>27</v>
      </c>
      <c r="K32" t="s">
        <v>103</v>
      </c>
      <c r="L32" t="s">
        <v>103</v>
      </c>
      <c r="M32" t="s">
        <v>48</v>
      </c>
      <c r="N32" s="3" t="s">
        <v>48</v>
      </c>
      <c r="O32" t="s">
        <v>225</v>
      </c>
      <c r="P32" s="3" t="s">
        <v>223</v>
      </c>
      <c r="Q32">
        <v>8</v>
      </c>
      <c r="R32">
        <v>7</v>
      </c>
      <c r="S32">
        <v>7</v>
      </c>
      <c r="T32">
        <v>6</v>
      </c>
      <c r="U32" s="3">
        <v>8</v>
      </c>
      <c r="V32">
        <v>8</v>
      </c>
      <c r="W32">
        <v>7</v>
      </c>
      <c r="X32">
        <v>7</v>
      </c>
      <c r="Y32">
        <v>6</v>
      </c>
      <c r="Z32" s="3">
        <v>8</v>
      </c>
      <c r="AA32">
        <v>1</v>
      </c>
      <c r="AB32">
        <v>4</v>
      </c>
      <c r="AC32">
        <v>1</v>
      </c>
      <c r="AD32" t="s">
        <v>41</v>
      </c>
      <c r="AE32" t="s">
        <v>41</v>
      </c>
      <c r="AF32" t="s">
        <v>41</v>
      </c>
      <c r="AG32" t="s">
        <v>41</v>
      </c>
      <c r="AH32" t="s">
        <v>41</v>
      </c>
      <c r="AI32">
        <v>10</v>
      </c>
      <c r="AJ32">
        <v>7</v>
      </c>
      <c r="AK32" s="3">
        <v>8</v>
      </c>
      <c r="AL32">
        <v>7</v>
      </c>
      <c r="AM32">
        <v>10</v>
      </c>
      <c r="AN32" s="3">
        <v>9</v>
      </c>
      <c r="AO32" s="85">
        <v>490000</v>
      </c>
      <c r="AP32" s="3" t="s">
        <v>45</v>
      </c>
      <c r="AQ32" s="6">
        <f t="shared" si="16"/>
        <v>7.5</v>
      </c>
      <c r="AR32" s="9" t="str">
        <f t="shared" si="17"/>
        <v>GoodReg</v>
      </c>
      <c r="AS32" s="6">
        <f t="shared" si="18"/>
        <v>7.5</v>
      </c>
      <c r="AT32" s="6" t="str">
        <f t="shared" si="19"/>
        <v>GoodReg</v>
      </c>
      <c r="AU32" s="9">
        <f t="shared" si="20"/>
        <v>7.5</v>
      </c>
      <c r="AV32" s="9" t="str">
        <f t="shared" si="21"/>
        <v>GoodReg</v>
      </c>
      <c r="AW32" s="53">
        <f t="shared" si="22"/>
        <v>1</v>
      </c>
      <c r="AX32" s="5">
        <f t="shared" si="23"/>
        <v>1</v>
      </c>
      <c r="AY32" s="5">
        <f t="shared" si="24"/>
        <v>0</v>
      </c>
      <c r="AZ32" s="5">
        <f t="shared" si="25"/>
        <v>0</v>
      </c>
      <c r="BA32" s="5">
        <f t="shared" si="26"/>
        <v>1</v>
      </c>
      <c r="BB32" s="5">
        <f t="shared" si="27"/>
        <v>1</v>
      </c>
      <c r="BC32" s="5">
        <f t="shared" si="28"/>
        <v>1</v>
      </c>
      <c r="BD32" s="5">
        <f t="shared" si="29"/>
        <v>1</v>
      </c>
      <c r="BE32" s="3">
        <f t="shared" si="30"/>
        <v>1</v>
      </c>
      <c r="BF32" s="53">
        <f t="shared" si="31"/>
        <v>1</v>
      </c>
      <c r="BG32" s="5">
        <f t="shared" si="32"/>
        <v>1</v>
      </c>
      <c r="BH32" s="5">
        <f t="shared" si="33"/>
        <v>0</v>
      </c>
      <c r="BI32" s="5">
        <f t="shared" si="34"/>
        <v>0</v>
      </c>
      <c r="BJ32" s="5">
        <f t="shared" si="35"/>
        <v>1</v>
      </c>
      <c r="BK32" s="5">
        <f t="shared" si="36"/>
        <v>1</v>
      </c>
      <c r="BL32" s="5">
        <f t="shared" si="37"/>
        <v>1</v>
      </c>
      <c r="BM32" s="5">
        <f t="shared" si="38"/>
        <v>1</v>
      </c>
      <c r="BN32" s="3">
        <f t="shared" si="39"/>
        <v>1</v>
      </c>
      <c r="BO32" s="3">
        <f t="shared" si="40"/>
        <v>4</v>
      </c>
      <c r="BP32" s="7">
        <f t="shared" si="41"/>
        <v>2</v>
      </c>
      <c r="BQ32" t="str">
        <f t="shared" si="42"/>
        <v/>
      </c>
      <c r="BR32" s="91">
        <f>IF(Q32="-","-",VLOOKUP($G32,CTBat!$G$10:$AN$184,BR$9,FALSE)-Q32)</f>
        <v>0</v>
      </c>
      <c r="BS32" s="91">
        <f>IF(R32="-","-",VLOOKUP($G32,CTBat!$G$10:$AN$184,BS$9,FALSE)-R32)</f>
        <v>0</v>
      </c>
      <c r="BT32" s="91">
        <f>IF(S32="-","-",VLOOKUP($G32,CTBat!$G$10:$AN$184,BT$9,FALSE)-S32)</f>
        <v>0</v>
      </c>
      <c r="BU32" s="91">
        <f>IF(T32="-","-",VLOOKUP($G32,CTBat!$G$10:$AN$184,BU$9,FALSE)-T32)</f>
        <v>0</v>
      </c>
      <c r="BV32" s="91">
        <f>IF(U32="-","-",VLOOKUP($G32,CTBat!$G$10:$AN$184,BV$9,FALSE)-U32)</f>
        <v>1</v>
      </c>
      <c r="BW32" s="91">
        <f>IF(V32="-","-",VLOOKUP($G32,CTBat!$G$10:$AN$184,BW$9,FALSE)-V32)</f>
        <v>0</v>
      </c>
      <c r="BX32" s="91">
        <f>IF(W32="-","-",VLOOKUP($G32,CTBat!$G$10:$AN$184,BX$9,FALSE)-W32)</f>
        <v>0</v>
      </c>
      <c r="BY32" s="91">
        <f>IF(X32="-","-",VLOOKUP($G32,CTBat!$G$10:$AN$184,BY$9,FALSE)-X32)</f>
        <v>0</v>
      </c>
      <c r="BZ32" s="91">
        <f>IF(Y32="-","-",VLOOKUP($G32,CTBat!$G$10:$AN$184,BZ$9,FALSE)-Y32)</f>
        <v>0</v>
      </c>
      <c r="CA32" s="91">
        <f>IF(Z32="-","-",VLOOKUP($G32,CTBat!$G$10:$AN$184,CA$9,FALSE)-Z32)</f>
        <v>1</v>
      </c>
      <c r="CB32" s="91">
        <f>IF(AA32="-","-",VLOOKUP($G32,CTBat!$G$10:$AN$184,CB$9,FALSE)-AA32)</f>
        <v>0</v>
      </c>
      <c r="CC32" s="91">
        <f>IF(AB32="-","-",VLOOKUP($G32,CTBat!$G$10:$AN$184,CC$9,FALSE)-AB32)</f>
        <v>0</v>
      </c>
      <c r="CD32" s="91">
        <f>IF(AC32="-","-",VLOOKUP($G32,CTBat!$G$10:$AN$184,CD$9,FALSE)-AC32)</f>
        <v>0</v>
      </c>
      <c r="CE32" s="91" t="str">
        <f>IF(AD32="-","-",VLOOKUP($G32,CTBat!$G$10:$AN$184,CE$9,FALSE)-AD32)</f>
        <v>-</v>
      </c>
      <c r="CF32" s="91" t="str">
        <f>IF(AE32="-","-",VLOOKUP($G32,CTBat!$G$10:$AN$184,CF$9,FALSE)-AE32)</f>
        <v>-</v>
      </c>
      <c r="CG32" s="91" t="str">
        <f>IF(AF32="-","-",VLOOKUP($G32,CTBat!$G$10:$AN$184,CG$9,FALSE)-AF32)</f>
        <v>-</v>
      </c>
      <c r="CH32" s="91" t="str">
        <f>IF(AG32="-","-",VLOOKUP($G32,CTBat!$G$10:$AN$184,CH$9,FALSE)-AG32)</f>
        <v>-</v>
      </c>
      <c r="CI32" s="91" t="str">
        <f>IF(AH32="-","-",VLOOKUP($G32,CTBat!$G$10:$AN$184,CI$9,FALSE)-AH32)</f>
        <v>-</v>
      </c>
      <c r="CJ32" s="91">
        <f>IF(AI32="-","-",VLOOKUP($G32,CTBat!$G$10:$AN$184,CJ$9,FALSE)-AI32)</f>
        <v>0</v>
      </c>
      <c r="CK32" s="91">
        <f>IF(AJ32="-","-",VLOOKUP($G32,CTBat!$G$10:$AN$184,CK$9,FALSE)-AJ32)</f>
        <v>0</v>
      </c>
      <c r="CL32" s="91">
        <f>IF(AK32="-","-",VLOOKUP($G32,CTBat!$G$10:$AN$184,CL$9,FALSE)-AK32)</f>
        <v>-1</v>
      </c>
      <c r="CM32" s="91">
        <f>IF(AL32="-","-",VLOOKUP($G32,CTBat!$G$10:$AN$184,CM$9,FALSE)-AL32)</f>
        <v>0</v>
      </c>
      <c r="CN32" s="91">
        <f>IF(AM32="-","-",VLOOKUP($G32,CTBat!$G$10:$AN$184,CN$9,FALSE)-AM32)</f>
        <v>0</v>
      </c>
      <c r="CO32" s="91">
        <f>IF(AN32="-","-",VLOOKUP($G32,CTBat!$G$10:$AN$184,CO$9,FALSE)-AN32)</f>
        <v>0</v>
      </c>
      <c r="CP32" s="91">
        <f t="shared" si="43"/>
        <v>1</v>
      </c>
      <c r="CQ32" s="91">
        <f t="shared" si="44"/>
        <v>1</v>
      </c>
      <c r="CR32" s="91">
        <f t="shared" si="45"/>
        <v>-1</v>
      </c>
      <c r="CS32" s="91">
        <f t="shared" si="46"/>
        <v>0</v>
      </c>
      <c r="CT32" s="91">
        <f t="shared" si="47"/>
        <v>1</v>
      </c>
    </row>
    <row r="33" spans="1:98">
      <c r="C33">
        <f t="shared" si="13"/>
        <v>2</v>
      </c>
      <c r="D33">
        <f t="shared" si="14"/>
        <v>2</v>
      </c>
      <c r="E33" t="str">
        <f t="shared" si="15"/>
        <v>K</v>
      </c>
      <c r="F33" t="s">
        <v>92</v>
      </c>
      <c r="G33" t="s">
        <v>490</v>
      </c>
      <c r="H33" t="s">
        <v>25</v>
      </c>
      <c r="I33" t="s">
        <v>207</v>
      </c>
      <c r="J33">
        <v>26</v>
      </c>
      <c r="K33" t="s">
        <v>104</v>
      </c>
      <c r="L33" t="s">
        <v>104</v>
      </c>
      <c r="M33" t="s">
        <v>47</v>
      </c>
      <c r="N33" s="266" t="s">
        <v>42</v>
      </c>
      <c r="O33" t="s">
        <v>223</v>
      </c>
      <c r="P33" s="266" t="s">
        <v>225</v>
      </c>
      <c r="Q33">
        <v>6</v>
      </c>
      <c r="R33">
        <v>6</v>
      </c>
      <c r="S33">
        <v>6</v>
      </c>
      <c r="T33">
        <v>7</v>
      </c>
      <c r="U33" s="266">
        <v>6</v>
      </c>
      <c r="V33">
        <v>6</v>
      </c>
      <c r="W33">
        <v>6</v>
      </c>
      <c r="X33">
        <v>6</v>
      </c>
      <c r="Y33">
        <v>7</v>
      </c>
      <c r="Z33" s="266">
        <v>6</v>
      </c>
      <c r="AA33">
        <v>4</v>
      </c>
      <c r="AB33">
        <v>5</v>
      </c>
      <c r="AC33">
        <v>7</v>
      </c>
      <c r="AD33">
        <v>8</v>
      </c>
      <c r="AE33" t="s">
        <v>41</v>
      </c>
      <c r="AF33" t="s">
        <v>41</v>
      </c>
      <c r="AG33" t="s">
        <v>41</v>
      </c>
      <c r="AH33" t="s">
        <v>41</v>
      </c>
      <c r="AI33" t="s">
        <v>41</v>
      </c>
      <c r="AJ33" t="s">
        <v>41</v>
      </c>
      <c r="AK33" s="266" t="s">
        <v>41</v>
      </c>
      <c r="AL33">
        <v>1</v>
      </c>
      <c r="AM33">
        <v>1</v>
      </c>
      <c r="AN33" s="266">
        <v>2</v>
      </c>
      <c r="AO33" s="85">
        <v>490000</v>
      </c>
      <c r="AP33" s="266" t="s">
        <v>45</v>
      </c>
      <c r="AQ33" s="6">
        <f t="shared" si="16"/>
        <v>6.833333333333333</v>
      </c>
      <c r="AR33" s="9" t="str">
        <f t="shared" si="17"/>
        <v>GoodReg</v>
      </c>
      <c r="AS33" s="6">
        <f t="shared" si="18"/>
        <v>6.833333333333333</v>
      </c>
      <c r="AT33" s="6" t="str">
        <f t="shared" si="19"/>
        <v>GoodReg</v>
      </c>
      <c r="AU33" s="9">
        <f t="shared" si="20"/>
        <v>6.833333333333333</v>
      </c>
      <c r="AV33" s="9" t="str">
        <f t="shared" si="21"/>
        <v>GoodReg</v>
      </c>
      <c r="AW33" s="53">
        <f t="shared" si="22"/>
        <v>0</v>
      </c>
      <c r="AX33" s="265">
        <f t="shared" si="23"/>
        <v>1</v>
      </c>
      <c r="AY33" s="265">
        <f t="shared" si="24"/>
        <v>0</v>
      </c>
      <c r="AZ33" s="265">
        <f t="shared" si="25"/>
        <v>0</v>
      </c>
      <c r="BA33" s="265">
        <f t="shared" si="26"/>
        <v>0</v>
      </c>
      <c r="BB33" s="265">
        <f t="shared" si="27"/>
        <v>0</v>
      </c>
      <c r="BC33" s="265">
        <f t="shared" si="28"/>
        <v>1</v>
      </c>
      <c r="BD33" s="265">
        <f t="shared" si="29"/>
        <v>1</v>
      </c>
      <c r="BE33" s="266">
        <f t="shared" si="30"/>
        <v>1</v>
      </c>
      <c r="BF33" s="53">
        <f t="shared" si="31"/>
        <v>0</v>
      </c>
      <c r="BG33" s="265">
        <f t="shared" si="32"/>
        <v>1</v>
      </c>
      <c r="BH33" s="265">
        <f t="shared" si="33"/>
        <v>0</v>
      </c>
      <c r="BI33" s="265">
        <f t="shared" si="34"/>
        <v>0</v>
      </c>
      <c r="BJ33" s="265">
        <f t="shared" si="35"/>
        <v>0</v>
      </c>
      <c r="BK33" s="265">
        <f t="shared" si="36"/>
        <v>0</v>
      </c>
      <c r="BL33" s="265">
        <f t="shared" si="37"/>
        <v>1</v>
      </c>
      <c r="BM33" s="265">
        <f t="shared" si="38"/>
        <v>1</v>
      </c>
      <c r="BN33" s="266">
        <f t="shared" si="39"/>
        <v>1</v>
      </c>
      <c r="BO33" s="266">
        <f t="shared" si="40"/>
        <v>0</v>
      </c>
      <c r="BP33" s="7">
        <f t="shared" si="41"/>
        <v>2</v>
      </c>
      <c r="BQ33" t="str">
        <f t="shared" si="42"/>
        <v/>
      </c>
      <c r="BR33" s="91">
        <f>IF(Q33="-","-",VLOOKUP($G33,CTBat!$G$10:$AN$184,BR$9,FALSE)-Q33)</f>
        <v>0</v>
      </c>
      <c r="BS33" s="91">
        <f>IF(R33="-","-",VLOOKUP($G33,CTBat!$G$10:$AN$184,BS$9,FALSE)-R33)</f>
        <v>0</v>
      </c>
      <c r="BT33" s="91">
        <f>IF(S33="-","-",VLOOKUP($G33,CTBat!$G$10:$AN$184,BT$9,FALSE)-S33)</f>
        <v>0</v>
      </c>
      <c r="BU33" s="91">
        <f>IF(T33="-","-",VLOOKUP($G33,CTBat!$G$10:$AN$184,BU$9,FALSE)-T33)</f>
        <v>0</v>
      </c>
      <c r="BV33" s="91">
        <f>IF(U33="-","-",VLOOKUP($G33,CTBat!$G$10:$AN$184,BV$9,FALSE)-U33)</f>
        <v>0</v>
      </c>
      <c r="BW33" s="91">
        <f>IF(V33="-","-",VLOOKUP($G33,CTBat!$G$10:$AN$184,BW$9,FALSE)-V33)</f>
        <v>1</v>
      </c>
      <c r="BX33" s="91">
        <f>IF(W33="-","-",VLOOKUP($G33,CTBat!$G$10:$AN$184,BX$9,FALSE)-W33)</f>
        <v>0</v>
      </c>
      <c r="BY33" s="91">
        <f>IF(X33="-","-",VLOOKUP($G33,CTBat!$G$10:$AN$184,BY$9,FALSE)-X33)</f>
        <v>0</v>
      </c>
      <c r="BZ33" s="91">
        <f>IF(Y33="-","-",VLOOKUP($G33,CTBat!$G$10:$AN$184,BZ$9,FALSE)-Y33)</f>
        <v>0</v>
      </c>
      <c r="CA33" s="91">
        <f>IF(Z33="-","-",VLOOKUP($G33,CTBat!$G$10:$AN$184,CA$9,FALSE)-Z33)</f>
        <v>0</v>
      </c>
      <c r="CB33" s="91">
        <f>IF(AA33="-","-",VLOOKUP($G33,CTBat!$G$10:$AN$184,CB$9,FALSE)-AA33)</f>
        <v>0</v>
      </c>
      <c r="CC33" s="91">
        <f>IF(AB33="-","-",VLOOKUP($G33,CTBat!$G$10:$AN$184,CC$9,FALSE)-AB33)</f>
        <v>0</v>
      </c>
      <c r="CD33" s="91">
        <f>IF(AC33="-","-",VLOOKUP($G33,CTBat!$G$10:$AN$184,CD$9,FALSE)-AC33)</f>
        <v>0</v>
      </c>
      <c r="CE33" s="91">
        <f>IF(AD33="-","-",VLOOKUP($G33,CTBat!$G$10:$AN$184,CE$9,FALSE)-AD33)</f>
        <v>0</v>
      </c>
      <c r="CF33" s="91" t="str">
        <f>IF(AE33="-","-",VLOOKUP($G33,CTBat!$G$10:$AN$184,CF$9,FALSE)-AE33)</f>
        <v>-</v>
      </c>
      <c r="CG33" s="91" t="str">
        <f>IF(AF33="-","-",VLOOKUP($G33,CTBat!$G$10:$AN$184,CG$9,FALSE)-AF33)</f>
        <v>-</v>
      </c>
      <c r="CH33" s="91" t="str">
        <f>IF(AG33="-","-",VLOOKUP($G33,CTBat!$G$10:$AN$184,CH$9,FALSE)-AG33)</f>
        <v>-</v>
      </c>
      <c r="CI33" s="91" t="str">
        <f>IF(AH33="-","-",VLOOKUP($G33,CTBat!$G$10:$AN$184,CI$9,FALSE)-AH33)</f>
        <v>-</v>
      </c>
      <c r="CJ33" s="91" t="str">
        <f>IF(AI33="-","-",VLOOKUP($G33,CTBat!$G$10:$AN$184,CJ$9,FALSE)-AI33)</f>
        <v>-</v>
      </c>
      <c r="CK33" s="91" t="str">
        <f>IF(AJ33="-","-",VLOOKUP($G33,CTBat!$G$10:$AN$184,CK$9,FALSE)-AJ33)</f>
        <v>-</v>
      </c>
      <c r="CL33" s="91" t="str">
        <f>IF(AK33="-","-",VLOOKUP($G33,CTBat!$G$10:$AN$184,CL$9,FALSE)-AK33)</f>
        <v>-</v>
      </c>
      <c r="CM33" s="91">
        <f>IF(AL33="-","-",VLOOKUP($G33,CTBat!$G$10:$AN$184,CM$9,FALSE)-AL33)</f>
        <v>0</v>
      </c>
      <c r="CN33" s="91">
        <f>IF(AM33="-","-",VLOOKUP($G33,CTBat!$G$10:$AN$184,CN$9,FALSE)-AM33)</f>
        <v>0</v>
      </c>
      <c r="CO33" s="91">
        <f>IF(AN33="-","-",VLOOKUP($G33,CTBat!$G$10:$AN$184,CO$9,FALSE)-AN33)</f>
        <v>0</v>
      </c>
      <c r="CP33" s="91">
        <f t="shared" si="43"/>
        <v>0</v>
      </c>
      <c r="CQ33" s="91">
        <f t="shared" si="44"/>
        <v>1</v>
      </c>
      <c r="CR33" s="91">
        <f t="shared" si="45"/>
        <v>0</v>
      </c>
      <c r="CS33" s="91">
        <f t="shared" si="46"/>
        <v>0</v>
      </c>
      <c r="CT33" s="91">
        <f t="shared" si="47"/>
        <v>1</v>
      </c>
    </row>
    <row r="34" spans="1:98">
      <c r="C34">
        <f t="shared" si="13"/>
        <v>2</v>
      </c>
      <c r="D34">
        <f t="shared" si="14"/>
        <v>6</v>
      </c>
      <c r="E34" t="str">
        <f t="shared" si="15"/>
        <v>K</v>
      </c>
      <c r="F34" t="s">
        <v>94</v>
      </c>
      <c r="G34" t="s">
        <v>383</v>
      </c>
      <c r="H34" t="s">
        <v>372</v>
      </c>
      <c r="I34" t="s">
        <v>209</v>
      </c>
      <c r="J34">
        <v>21</v>
      </c>
      <c r="K34" t="s">
        <v>103</v>
      </c>
      <c r="L34" t="s">
        <v>103</v>
      </c>
      <c r="M34" t="s">
        <v>47</v>
      </c>
      <c r="N34" s="3" t="s">
        <v>47</v>
      </c>
      <c r="O34" t="s">
        <v>226</v>
      </c>
      <c r="P34" s="3" t="s">
        <v>226</v>
      </c>
      <c r="Q34">
        <v>7</v>
      </c>
      <c r="R34">
        <v>7</v>
      </c>
      <c r="S34">
        <v>2</v>
      </c>
      <c r="T34">
        <v>4</v>
      </c>
      <c r="U34" s="3">
        <v>5</v>
      </c>
      <c r="V34">
        <v>9</v>
      </c>
      <c r="W34">
        <v>7</v>
      </c>
      <c r="X34">
        <v>4</v>
      </c>
      <c r="Y34">
        <v>5</v>
      </c>
      <c r="Z34" s="3">
        <v>7</v>
      </c>
      <c r="AA34">
        <v>3</v>
      </c>
      <c r="AB34">
        <v>3</v>
      </c>
      <c r="AC34">
        <v>1</v>
      </c>
      <c r="AD34" t="s">
        <v>41</v>
      </c>
      <c r="AE34">
        <v>2</v>
      </c>
      <c r="AF34" t="s">
        <v>41</v>
      </c>
      <c r="AG34" t="s">
        <v>41</v>
      </c>
      <c r="AH34" t="s">
        <v>41</v>
      </c>
      <c r="AI34" t="s">
        <v>41</v>
      </c>
      <c r="AJ34" t="s">
        <v>41</v>
      </c>
      <c r="AK34" s="3" t="s">
        <v>41</v>
      </c>
      <c r="AL34">
        <v>3</v>
      </c>
      <c r="AM34">
        <v>3</v>
      </c>
      <c r="AN34" s="3">
        <v>2</v>
      </c>
      <c r="AO34" s="85" t="s">
        <v>41</v>
      </c>
      <c r="AP34" s="3">
        <v>0</v>
      </c>
      <c r="AQ34" s="6">
        <f t="shared" si="16"/>
        <v>4.333333333333333</v>
      </c>
      <c r="AR34" s="9" t="str">
        <f t="shared" si="17"/>
        <v>Bench</v>
      </c>
      <c r="AS34" s="6">
        <f t="shared" si="18"/>
        <v>6.5</v>
      </c>
      <c r="AT34" s="6" t="str">
        <f t="shared" si="19"/>
        <v>Reg</v>
      </c>
      <c r="AU34" s="9">
        <f t="shared" si="20"/>
        <v>6.5</v>
      </c>
      <c r="AV34" s="9" t="str">
        <f t="shared" si="21"/>
        <v>Reg</v>
      </c>
      <c r="AW34" s="53">
        <f t="shared" si="22"/>
        <v>0</v>
      </c>
      <c r="AX34" s="5">
        <f t="shared" si="23"/>
        <v>0</v>
      </c>
      <c r="AY34" s="5">
        <f t="shared" si="24"/>
        <v>0</v>
      </c>
      <c r="AZ34" s="5">
        <f t="shared" si="25"/>
        <v>0</v>
      </c>
      <c r="BA34" s="5">
        <f t="shared" si="26"/>
        <v>0</v>
      </c>
      <c r="BB34" s="5">
        <f t="shared" si="27"/>
        <v>1</v>
      </c>
      <c r="BC34" s="5">
        <f t="shared" si="28"/>
        <v>1</v>
      </c>
      <c r="BD34" s="5">
        <f t="shared" si="29"/>
        <v>1</v>
      </c>
      <c r="BE34" s="3">
        <f t="shared" si="30"/>
        <v>1</v>
      </c>
      <c r="BF34" s="53">
        <f t="shared" si="31"/>
        <v>0</v>
      </c>
      <c r="BG34" s="5">
        <f t="shared" si="32"/>
        <v>1</v>
      </c>
      <c r="BH34" s="5">
        <f t="shared" si="33"/>
        <v>0</v>
      </c>
      <c r="BI34" s="5">
        <f t="shared" si="34"/>
        <v>0</v>
      </c>
      <c r="BJ34" s="5">
        <f t="shared" si="35"/>
        <v>0</v>
      </c>
      <c r="BK34" s="5">
        <f t="shared" si="36"/>
        <v>1</v>
      </c>
      <c r="BL34" s="5">
        <f t="shared" si="37"/>
        <v>1</v>
      </c>
      <c r="BM34" s="5">
        <f t="shared" si="38"/>
        <v>1</v>
      </c>
      <c r="BN34" s="3">
        <f t="shared" si="39"/>
        <v>1</v>
      </c>
      <c r="BO34" s="3">
        <f t="shared" si="40"/>
        <v>0</v>
      </c>
      <c r="BP34" s="7">
        <f t="shared" si="41"/>
        <v>0</v>
      </c>
      <c r="BQ34" t="str">
        <f t="shared" si="42"/>
        <v/>
      </c>
      <c r="BR34" s="91">
        <f>IF(Q34="-","-",VLOOKUP($G34,CTBat!$G$10:$AN$184,BR$9,FALSE)-Q34)</f>
        <v>0</v>
      </c>
      <c r="BS34" s="91">
        <f>IF(R34="-","-",VLOOKUP($G34,CTBat!$G$10:$AN$184,BS$9,FALSE)-R34)</f>
        <v>0</v>
      </c>
      <c r="BT34" s="91">
        <f>IF(S34="-","-",VLOOKUP($G34,CTBat!$G$10:$AN$184,BT$9,FALSE)-S34)</f>
        <v>0</v>
      </c>
      <c r="BU34" s="91">
        <f>IF(T34="-","-",VLOOKUP($G34,CTBat!$G$10:$AN$184,BU$9,FALSE)-T34)</f>
        <v>0</v>
      </c>
      <c r="BV34" s="91">
        <f>IF(U34="-","-",VLOOKUP($G34,CTBat!$G$10:$AN$184,BV$9,FALSE)-U34)</f>
        <v>0</v>
      </c>
      <c r="BW34" s="91">
        <f>IF(V34="-","-",VLOOKUP($G34,CTBat!$G$10:$AN$184,BW$9,FALSE)-V34)</f>
        <v>0</v>
      </c>
      <c r="BX34" s="91">
        <f>IF(W34="-","-",VLOOKUP($G34,CTBat!$G$10:$AN$184,BX$9,FALSE)-W34)</f>
        <v>0</v>
      </c>
      <c r="BY34" s="91">
        <f>IF(X34="-","-",VLOOKUP($G34,CTBat!$G$10:$AN$184,BY$9,FALSE)-X34)</f>
        <v>0</v>
      </c>
      <c r="BZ34" s="91">
        <f>IF(Y34="-","-",VLOOKUP($G34,CTBat!$G$10:$AN$184,BZ$9,FALSE)-Y34)</f>
        <v>1</v>
      </c>
      <c r="CA34" s="91">
        <f>IF(Z34="-","-",VLOOKUP($G34,CTBat!$G$10:$AN$184,CA$9,FALSE)-Z34)</f>
        <v>0</v>
      </c>
      <c r="CB34" s="91">
        <f>IF(AA34="-","-",VLOOKUP($G34,CTBat!$G$10:$AN$184,CB$9,FALSE)-AA34)</f>
        <v>0</v>
      </c>
      <c r="CC34" s="91">
        <f>IF(AB34="-","-",VLOOKUP($G34,CTBat!$G$10:$AN$184,CC$9,FALSE)-AB34)</f>
        <v>0</v>
      </c>
      <c r="CD34" s="91">
        <f>IF(AC34="-","-",VLOOKUP($G34,CTBat!$G$10:$AN$184,CD$9,FALSE)-AC34)</f>
        <v>0</v>
      </c>
      <c r="CE34" s="91" t="str">
        <f>IF(AD34="-","-",VLOOKUP($G34,CTBat!$G$10:$AN$184,CE$9,FALSE)-AD34)</f>
        <v>-</v>
      </c>
      <c r="CF34" s="91">
        <f>IF(AE34="-","-",VLOOKUP($G34,CTBat!$G$10:$AN$184,CF$9,FALSE)-AE34)</f>
        <v>0</v>
      </c>
      <c r="CG34" s="91" t="str">
        <f>IF(AF34="-","-",VLOOKUP($G34,CTBat!$G$10:$AN$184,CG$9,FALSE)-AF34)</f>
        <v>-</v>
      </c>
      <c r="CH34" s="91" t="str">
        <f>IF(AG34="-","-",VLOOKUP($G34,CTBat!$G$10:$AN$184,CH$9,FALSE)-AG34)</f>
        <v>-</v>
      </c>
      <c r="CI34" s="91" t="str">
        <f>IF(AH34="-","-",VLOOKUP($G34,CTBat!$G$10:$AN$184,CI$9,FALSE)-AH34)</f>
        <v>-</v>
      </c>
      <c r="CJ34" s="91" t="str">
        <f>IF(AI34="-","-",VLOOKUP($G34,CTBat!$G$10:$AN$184,CJ$9,FALSE)-AI34)</f>
        <v>-</v>
      </c>
      <c r="CK34" s="91" t="str">
        <f>IF(AJ34="-","-",VLOOKUP($G34,CTBat!$G$10:$AN$184,CK$9,FALSE)-AJ34)</f>
        <v>-</v>
      </c>
      <c r="CL34" s="91" t="str">
        <f>IF(AK34="-","-",VLOOKUP($G34,CTBat!$G$10:$AN$184,CL$9,FALSE)-AK34)</f>
        <v>-</v>
      </c>
      <c r="CM34" s="91">
        <f>IF(AL34="-","-",VLOOKUP($G34,CTBat!$G$10:$AN$184,CM$9,FALSE)-AL34)</f>
        <v>0</v>
      </c>
      <c r="CN34" s="91">
        <f>IF(AM34="-","-",VLOOKUP($G34,CTBat!$G$10:$AN$184,CN$9,FALSE)-AM34)</f>
        <v>0</v>
      </c>
      <c r="CO34" s="91">
        <f>IF(AN34="-","-",VLOOKUP($G34,CTBat!$G$10:$AN$184,CO$9,FALSE)-AN34)</f>
        <v>0</v>
      </c>
      <c r="CP34" s="91">
        <f t="shared" si="43"/>
        <v>0</v>
      </c>
      <c r="CQ34" s="91">
        <f t="shared" si="44"/>
        <v>1</v>
      </c>
      <c r="CR34" s="91">
        <f t="shared" si="45"/>
        <v>0</v>
      </c>
      <c r="CS34" s="91">
        <f t="shared" si="46"/>
        <v>0</v>
      </c>
      <c r="CT34" s="91">
        <f t="shared" si="47"/>
        <v>1</v>
      </c>
    </row>
    <row r="35" spans="1:98">
      <c r="A35" s="91"/>
      <c r="B35" s="91"/>
      <c r="C35" s="91">
        <f t="shared" si="13"/>
        <v>7</v>
      </c>
      <c r="D35" s="91" t="str">
        <f t="shared" si="14"/>
        <v>-</v>
      </c>
      <c r="E35" s="91" t="str">
        <f t="shared" si="15"/>
        <v>K</v>
      </c>
      <c r="F35" s="91" t="s">
        <v>99</v>
      </c>
      <c r="G35" s="91" t="s">
        <v>382</v>
      </c>
      <c r="H35" s="91" t="s">
        <v>371</v>
      </c>
      <c r="I35" s="91" t="s">
        <v>208</v>
      </c>
      <c r="J35" s="91">
        <v>24</v>
      </c>
      <c r="K35" s="91" t="s">
        <v>104</v>
      </c>
      <c r="L35" s="91" t="s">
        <v>104</v>
      </c>
      <c r="M35" s="91" t="s">
        <v>47</v>
      </c>
      <c r="N35" s="328" t="s">
        <v>42</v>
      </c>
      <c r="O35" s="91" t="s">
        <v>224</v>
      </c>
      <c r="P35" s="328" t="s">
        <v>225</v>
      </c>
      <c r="Q35" s="91">
        <v>5</v>
      </c>
      <c r="R35" s="91">
        <v>4</v>
      </c>
      <c r="S35" s="91">
        <v>6</v>
      </c>
      <c r="T35" s="91">
        <v>4</v>
      </c>
      <c r="U35" s="328">
        <v>3</v>
      </c>
      <c r="V35" s="91">
        <v>5</v>
      </c>
      <c r="W35" s="91">
        <v>5</v>
      </c>
      <c r="X35" s="91">
        <v>8</v>
      </c>
      <c r="Y35" s="91">
        <v>6</v>
      </c>
      <c r="Z35" s="328">
        <v>4</v>
      </c>
      <c r="AA35" s="91">
        <v>1</v>
      </c>
      <c r="AB35" s="91">
        <v>8</v>
      </c>
      <c r="AC35" s="91">
        <v>1</v>
      </c>
      <c r="AD35" s="91" t="s">
        <v>41</v>
      </c>
      <c r="AE35" s="91" t="s">
        <v>41</v>
      </c>
      <c r="AF35" s="91" t="s">
        <v>41</v>
      </c>
      <c r="AG35" s="91" t="s">
        <v>41</v>
      </c>
      <c r="AH35" s="91" t="s">
        <v>41</v>
      </c>
      <c r="AI35" s="91">
        <v>10</v>
      </c>
      <c r="AJ35" s="91">
        <v>7</v>
      </c>
      <c r="AK35" s="328">
        <v>8</v>
      </c>
      <c r="AL35" s="91">
        <v>9</v>
      </c>
      <c r="AM35" s="91">
        <v>9</v>
      </c>
      <c r="AN35" s="328">
        <v>8</v>
      </c>
      <c r="AO35" s="92" t="s">
        <v>41</v>
      </c>
      <c r="AP35" s="328">
        <v>0</v>
      </c>
      <c r="AQ35" s="93">
        <f t="shared" si="16"/>
        <v>4.5</v>
      </c>
      <c r="AR35" s="94" t="str">
        <f t="shared" si="17"/>
        <v>Bench</v>
      </c>
      <c r="AS35" s="93">
        <f t="shared" si="18"/>
        <v>6.083333333333333</v>
      </c>
      <c r="AT35" s="93" t="str">
        <f t="shared" si="19"/>
        <v>Reg</v>
      </c>
      <c r="AU35" s="94">
        <f t="shared" si="20"/>
        <v>5.5</v>
      </c>
      <c r="AV35" s="94" t="str">
        <f t="shared" si="21"/>
        <v>Reg</v>
      </c>
      <c r="AW35" s="326">
        <f t="shared" si="22"/>
        <v>0</v>
      </c>
      <c r="AX35" s="327">
        <f t="shared" si="23"/>
        <v>0</v>
      </c>
      <c r="AY35" s="327">
        <f t="shared" si="24"/>
        <v>0</v>
      </c>
      <c r="AZ35" s="327">
        <f t="shared" si="25"/>
        <v>0</v>
      </c>
      <c r="BA35" s="327">
        <f t="shared" si="26"/>
        <v>0</v>
      </c>
      <c r="BB35" s="327">
        <f t="shared" si="27"/>
        <v>0</v>
      </c>
      <c r="BC35" s="327">
        <f t="shared" si="28"/>
        <v>0</v>
      </c>
      <c r="BD35" s="327">
        <f t="shared" si="29"/>
        <v>0</v>
      </c>
      <c r="BE35" s="328">
        <f t="shared" si="30"/>
        <v>0</v>
      </c>
      <c r="BF35" s="326">
        <f t="shared" si="31"/>
        <v>0</v>
      </c>
      <c r="BG35" s="327">
        <f t="shared" si="32"/>
        <v>0</v>
      </c>
      <c r="BH35" s="327">
        <f t="shared" si="33"/>
        <v>0</v>
      </c>
      <c r="BI35" s="327">
        <f t="shared" si="34"/>
        <v>0</v>
      </c>
      <c r="BJ35" s="327">
        <f t="shared" si="35"/>
        <v>0</v>
      </c>
      <c r="BK35" s="327">
        <f t="shared" si="36"/>
        <v>0</v>
      </c>
      <c r="BL35" s="327">
        <f t="shared" si="37"/>
        <v>1</v>
      </c>
      <c r="BM35" s="327">
        <f t="shared" si="38"/>
        <v>1</v>
      </c>
      <c r="BN35" s="328">
        <f t="shared" si="39"/>
        <v>1</v>
      </c>
      <c r="BO35" s="328">
        <f t="shared" si="40"/>
        <v>4</v>
      </c>
      <c r="BP35" s="96">
        <f t="shared" si="41"/>
        <v>2</v>
      </c>
      <c r="BQ35" s="91" t="str">
        <f t="shared" si="42"/>
        <v/>
      </c>
      <c r="BR35" s="91">
        <f>IF(Q35="-","-",VLOOKUP($G35,CTBat!$G$10:$AN$184,BR$9,FALSE)-Q35)</f>
        <v>0</v>
      </c>
      <c r="BS35" s="91">
        <f>IF(R35="-","-",VLOOKUP($G35,CTBat!$G$10:$AN$184,BS$9,FALSE)-R35)</f>
        <v>0</v>
      </c>
      <c r="BT35" s="91">
        <f>IF(S35="-","-",VLOOKUP($G35,CTBat!$G$10:$AN$184,BT$9,FALSE)-S35)</f>
        <v>0</v>
      </c>
      <c r="BU35" s="91">
        <f>IF(T35="-","-",VLOOKUP($G35,CTBat!$G$10:$AN$184,BU$9,FALSE)-T35)</f>
        <v>0</v>
      </c>
      <c r="BV35" s="91">
        <f>IF(U35="-","-",VLOOKUP($G35,CTBat!$G$10:$AN$184,BV$9,FALSE)-U35)</f>
        <v>1</v>
      </c>
      <c r="BW35" s="91">
        <f>IF(V35="-","-",VLOOKUP($G35,CTBat!$G$10:$AN$184,BW$9,FALSE)-V35)</f>
        <v>0</v>
      </c>
      <c r="BX35" s="91">
        <f>IF(W35="-","-",VLOOKUP($G35,CTBat!$G$10:$AN$184,BX$9,FALSE)-W35)</f>
        <v>0</v>
      </c>
      <c r="BY35" s="91">
        <f>IF(X35="-","-",VLOOKUP($G35,CTBat!$G$10:$AN$184,BY$9,FALSE)-X35)</f>
        <v>0</v>
      </c>
      <c r="BZ35" s="91">
        <f>IF(Y35="-","-",VLOOKUP($G35,CTBat!$G$10:$AN$184,BZ$9,FALSE)-Y35)</f>
        <v>-1</v>
      </c>
      <c r="CA35" s="91">
        <f>IF(Z35="-","-",VLOOKUP($G35,CTBat!$G$10:$AN$184,CA$9,FALSE)-Z35)</f>
        <v>0</v>
      </c>
      <c r="CB35" s="91">
        <f>IF(AA35="-","-",VLOOKUP($G35,CTBat!$G$10:$AN$184,CB$9,FALSE)-AA35)</f>
        <v>0</v>
      </c>
      <c r="CC35" s="91">
        <f>IF(AB35="-","-",VLOOKUP($G35,CTBat!$G$10:$AN$184,CC$9,FALSE)-AB35)</f>
        <v>0</v>
      </c>
      <c r="CD35" s="91">
        <f>IF(AC35="-","-",VLOOKUP($G35,CTBat!$G$10:$AN$184,CD$9,FALSE)-AC35)</f>
        <v>0</v>
      </c>
      <c r="CE35" s="91" t="str">
        <f>IF(AD35="-","-",VLOOKUP($G35,CTBat!$G$10:$AN$184,CE$9,FALSE)-AD35)</f>
        <v>-</v>
      </c>
      <c r="CF35" s="91" t="str">
        <f>IF(AE35="-","-",VLOOKUP($G35,CTBat!$G$10:$AN$184,CF$9,FALSE)-AE35)</f>
        <v>-</v>
      </c>
      <c r="CG35" s="91" t="str">
        <f>IF(AF35="-","-",VLOOKUP($G35,CTBat!$G$10:$AN$184,CG$9,FALSE)-AF35)</f>
        <v>-</v>
      </c>
      <c r="CH35" s="91" t="str">
        <f>IF(AG35="-","-",VLOOKUP($G35,CTBat!$G$10:$AN$184,CH$9,FALSE)-AG35)</f>
        <v>-</v>
      </c>
      <c r="CI35" s="91" t="str">
        <f>IF(AH35="-","-",VLOOKUP($G35,CTBat!$G$10:$AN$184,CI$9,FALSE)-AH35)</f>
        <v>-</v>
      </c>
      <c r="CJ35" s="91">
        <f>IF(AI35="-","-",VLOOKUP($G35,CTBat!$G$10:$AN$184,CJ$9,FALSE)-AI35)</f>
        <v>0</v>
      </c>
      <c r="CK35" s="91">
        <f>IF(AJ35="-","-",VLOOKUP($G35,CTBat!$G$10:$AN$184,CK$9,FALSE)-AJ35)</f>
        <v>0</v>
      </c>
      <c r="CL35" s="91">
        <f>IF(AK35="-","-",VLOOKUP($G35,CTBat!$G$10:$AN$184,CL$9,FALSE)-AK35)</f>
        <v>0</v>
      </c>
      <c r="CM35" s="91">
        <f>IF(AL35="-","-",VLOOKUP($G35,CTBat!$G$10:$AN$184,CM$9,FALSE)-AL35)</f>
        <v>0</v>
      </c>
      <c r="CN35" s="91">
        <f>IF(AM35="-","-",VLOOKUP($G35,CTBat!$G$10:$AN$184,CN$9,FALSE)-AM35)</f>
        <v>0</v>
      </c>
      <c r="CO35" s="91">
        <f>IF(AN35="-","-",VLOOKUP($G35,CTBat!$G$10:$AN$184,CO$9,FALSE)-AN35)</f>
        <v>1</v>
      </c>
      <c r="CP35" s="91">
        <f t="shared" si="43"/>
        <v>1</v>
      </c>
      <c r="CQ35" s="91">
        <f t="shared" si="44"/>
        <v>-1</v>
      </c>
      <c r="CR35" s="91">
        <f t="shared" si="45"/>
        <v>0</v>
      </c>
      <c r="CS35" s="91">
        <f t="shared" si="46"/>
        <v>1</v>
      </c>
      <c r="CT35" s="91">
        <f t="shared" si="47"/>
        <v>1</v>
      </c>
    </row>
    <row r="36" spans="1:98">
      <c r="C36">
        <f t="shared" si="13"/>
        <v>5</v>
      </c>
      <c r="D36" t="str">
        <f t="shared" si="14"/>
        <v>-</v>
      </c>
      <c r="E36" t="str">
        <f t="shared" si="15"/>
        <v>K</v>
      </c>
      <c r="F36" t="s">
        <v>94</v>
      </c>
      <c r="G36" t="s">
        <v>466</v>
      </c>
      <c r="H36" t="s">
        <v>370</v>
      </c>
      <c r="I36" t="s">
        <v>316</v>
      </c>
      <c r="J36">
        <v>22</v>
      </c>
      <c r="K36" t="s">
        <v>104</v>
      </c>
      <c r="L36" t="s">
        <v>104</v>
      </c>
      <c r="M36" t="s">
        <v>47</v>
      </c>
      <c r="N36" s="269" t="s">
        <v>47</v>
      </c>
      <c r="O36" t="s">
        <v>227</v>
      </c>
      <c r="P36" s="269" t="s">
        <v>226</v>
      </c>
      <c r="Q36">
        <v>5</v>
      </c>
      <c r="R36">
        <v>3</v>
      </c>
      <c r="S36">
        <v>3</v>
      </c>
      <c r="T36">
        <v>2</v>
      </c>
      <c r="U36" s="269">
        <v>3</v>
      </c>
      <c r="V36">
        <v>7</v>
      </c>
      <c r="W36">
        <v>6</v>
      </c>
      <c r="X36">
        <v>7</v>
      </c>
      <c r="Y36">
        <v>4</v>
      </c>
      <c r="Z36" s="269">
        <v>5</v>
      </c>
      <c r="AA36">
        <v>2</v>
      </c>
      <c r="AB36">
        <v>3</v>
      </c>
      <c r="AC36">
        <v>1</v>
      </c>
      <c r="AD36" t="s">
        <v>41</v>
      </c>
      <c r="AE36">
        <v>3</v>
      </c>
      <c r="AF36" t="s">
        <v>41</v>
      </c>
      <c r="AG36" t="s">
        <v>41</v>
      </c>
      <c r="AH36" t="s">
        <v>41</v>
      </c>
      <c r="AI36" t="s">
        <v>41</v>
      </c>
      <c r="AJ36" t="s">
        <v>41</v>
      </c>
      <c r="AK36" s="269" t="s">
        <v>41</v>
      </c>
      <c r="AL36">
        <v>2</v>
      </c>
      <c r="AM36">
        <v>2</v>
      </c>
      <c r="AN36" s="269">
        <v>2</v>
      </c>
      <c r="AO36" t="s">
        <v>41</v>
      </c>
      <c r="AP36" s="269">
        <v>0</v>
      </c>
      <c r="AQ36" s="6">
        <f t="shared" si="16"/>
        <v>2.8333333333333335</v>
      </c>
      <c r="AR36" s="9" t="str">
        <f t="shared" si="17"/>
        <v>Minors</v>
      </c>
      <c r="AS36" s="6">
        <f t="shared" si="18"/>
        <v>6</v>
      </c>
      <c r="AT36" s="6" t="str">
        <f t="shared" si="19"/>
        <v>Reg</v>
      </c>
      <c r="AU36" s="9">
        <f t="shared" si="20"/>
        <v>6</v>
      </c>
      <c r="AV36" s="9" t="str">
        <f t="shared" si="21"/>
        <v>Reg</v>
      </c>
      <c r="AW36" s="53">
        <f t="shared" si="22"/>
        <v>0</v>
      </c>
      <c r="AX36" s="268">
        <f t="shared" si="23"/>
        <v>0</v>
      </c>
      <c r="AY36" s="268">
        <f t="shared" si="24"/>
        <v>0</v>
      </c>
      <c r="AZ36" s="268">
        <f t="shared" si="25"/>
        <v>0</v>
      </c>
      <c r="BA36" s="268">
        <f t="shared" si="26"/>
        <v>0</v>
      </c>
      <c r="BB36" s="268">
        <f t="shared" si="27"/>
        <v>0</v>
      </c>
      <c r="BC36" s="268">
        <f t="shared" si="28"/>
        <v>0</v>
      </c>
      <c r="BD36" s="268">
        <f t="shared" si="29"/>
        <v>0</v>
      </c>
      <c r="BE36" s="269">
        <f t="shared" si="30"/>
        <v>0</v>
      </c>
      <c r="BF36" s="53">
        <f t="shared" si="31"/>
        <v>0</v>
      </c>
      <c r="BG36" s="268">
        <f t="shared" si="32"/>
        <v>0</v>
      </c>
      <c r="BH36" s="268">
        <f t="shared" si="33"/>
        <v>0</v>
      </c>
      <c r="BI36" s="268">
        <f t="shared" si="34"/>
        <v>0</v>
      </c>
      <c r="BJ36" s="268">
        <f t="shared" si="35"/>
        <v>1</v>
      </c>
      <c r="BK36" s="268">
        <f t="shared" si="36"/>
        <v>1</v>
      </c>
      <c r="BL36" s="268">
        <f t="shared" si="37"/>
        <v>1</v>
      </c>
      <c r="BM36" s="268">
        <f t="shared" si="38"/>
        <v>1</v>
      </c>
      <c r="BN36" s="269">
        <f t="shared" si="39"/>
        <v>1</v>
      </c>
      <c r="BO36" s="269">
        <f t="shared" si="40"/>
        <v>0</v>
      </c>
      <c r="BP36" s="7">
        <f t="shared" si="41"/>
        <v>0</v>
      </c>
      <c r="BQ36" t="str">
        <f t="shared" si="42"/>
        <v/>
      </c>
      <c r="BR36" s="91">
        <f>IF(Q36="-","-",VLOOKUP($G36,CTBat!$G$10:$AN$184,BR$9,FALSE)-Q36)</f>
        <v>0</v>
      </c>
      <c r="BS36" s="91">
        <f>IF(R36="-","-",VLOOKUP($G36,CTBat!$G$10:$AN$184,BS$9,FALSE)-R36)</f>
        <v>2</v>
      </c>
      <c r="BT36" s="91">
        <f>IF(S36="-","-",VLOOKUP($G36,CTBat!$G$10:$AN$184,BT$9,FALSE)-S36)</f>
        <v>0</v>
      </c>
      <c r="BU36" s="91">
        <f>IF(T36="-","-",VLOOKUP($G36,CTBat!$G$10:$AN$184,BU$9,FALSE)-T36)</f>
        <v>1</v>
      </c>
      <c r="BV36" s="91">
        <f>IF(U36="-","-",VLOOKUP($G36,CTBat!$G$10:$AN$184,BV$9,FALSE)-U36)</f>
        <v>0</v>
      </c>
      <c r="BW36" s="91">
        <f>IF(V36="-","-",VLOOKUP($G36,CTBat!$G$10:$AN$184,BW$9,FALSE)-V36)</f>
        <v>-1</v>
      </c>
      <c r="BX36" s="91">
        <f>IF(W36="-","-",VLOOKUP($G36,CTBat!$G$10:$AN$184,BX$9,FALSE)-W36)</f>
        <v>0</v>
      </c>
      <c r="BY36" s="91">
        <f>IF(X36="-","-",VLOOKUP($G36,CTBat!$G$10:$AN$184,BY$9,FALSE)-X36)</f>
        <v>-1</v>
      </c>
      <c r="BZ36" s="91">
        <f>IF(Y36="-","-",VLOOKUP($G36,CTBat!$G$10:$AN$184,BZ$9,FALSE)-Y36)</f>
        <v>0</v>
      </c>
      <c r="CA36" s="91">
        <f>IF(Z36="-","-",VLOOKUP($G36,CTBat!$G$10:$AN$184,CA$9,FALSE)-Z36)</f>
        <v>0</v>
      </c>
      <c r="CB36" s="91">
        <f>IF(AA36="-","-",VLOOKUP($G36,CTBat!$G$10:$AN$184,CB$9,FALSE)-AA36)</f>
        <v>0</v>
      </c>
      <c r="CC36" s="91">
        <f>IF(AB36="-","-",VLOOKUP($G36,CTBat!$G$10:$AN$184,CC$9,FALSE)-AB36)</f>
        <v>0</v>
      </c>
      <c r="CD36" s="91">
        <f>IF(AC36="-","-",VLOOKUP($G36,CTBat!$G$10:$AN$184,CD$9,FALSE)-AC36)</f>
        <v>0</v>
      </c>
      <c r="CE36" s="91" t="str">
        <f>IF(AD36="-","-",VLOOKUP($G36,CTBat!$G$10:$AN$184,CE$9,FALSE)-AD36)</f>
        <v>-</v>
      </c>
      <c r="CF36" s="91">
        <f>IF(AE36="-","-",VLOOKUP($G36,CTBat!$G$10:$AN$184,CF$9,FALSE)-AE36)</f>
        <v>0</v>
      </c>
      <c r="CG36" s="91" t="str">
        <f>IF(AF36="-","-",VLOOKUP($G36,CTBat!$G$10:$AN$184,CG$9,FALSE)-AF36)</f>
        <v>-</v>
      </c>
      <c r="CH36" s="91" t="str">
        <f>IF(AG36="-","-",VLOOKUP($G36,CTBat!$G$10:$AN$184,CH$9,FALSE)-AG36)</f>
        <v>-</v>
      </c>
      <c r="CI36" s="91" t="str">
        <f>IF(AH36="-","-",VLOOKUP($G36,CTBat!$G$10:$AN$184,CI$9,FALSE)-AH36)</f>
        <v>-</v>
      </c>
      <c r="CJ36" s="91" t="str">
        <f>IF(AI36="-","-",VLOOKUP($G36,CTBat!$G$10:$AN$184,CJ$9,FALSE)-AI36)</f>
        <v>-</v>
      </c>
      <c r="CK36" s="91" t="str">
        <f>IF(AJ36="-","-",VLOOKUP($G36,CTBat!$G$10:$AN$184,CK$9,FALSE)-AJ36)</f>
        <v>-</v>
      </c>
      <c r="CL36" s="91" t="str">
        <f>IF(AK36="-","-",VLOOKUP($G36,CTBat!$G$10:$AN$184,CL$9,FALSE)-AK36)</f>
        <v>-</v>
      </c>
      <c r="CM36" s="91">
        <f>IF(AL36="-","-",VLOOKUP($G36,CTBat!$G$10:$AN$184,CM$9,FALSE)-AL36)</f>
        <v>0</v>
      </c>
      <c r="CN36" s="91">
        <f>IF(AM36="-","-",VLOOKUP($G36,CTBat!$G$10:$AN$184,CN$9,FALSE)-AM36)</f>
        <v>0</v>
      </c>
      <c r="CO36" s="91">
        <f>IF(AN36="-","-",VLOOKUP($G36,CTBat!$G$10:$AN$184,CO$9,FALSE)-AN36)</f>
        <v>0</v>
      </c>
      <c r="CP36" s="91">
        <f t="shared" si="43"/>
        <v>3</v>
      </c>
      <c r="CQ36" s="91">
        <f t="shared" si="44"/>
        <v>-2</v>
      </c>
      <c r="CR36" s="91">
        <f t="shared" si="45"/>
        <v>0</v>
      </c>
      <c r="CS36" s="91">
        <f t="shared" si="46"/>
        <v>0</v>
      </c>
      <c r="CT36" s="91">
        <f t="shared" si="47"/>
        <v>1</v>
      </c>
    </row>
    <row r="37" spans="1:98">
      <c r="A37" s="91"/>
      <c r="B37" s="91"/>
      <c r="C37" s="91">
        <f t="shared" si="13"/>
        <v>7</v>
      </c>
      <c r="D37" s="91" t="str">
        <f t="shared" si="14"/>
        <v>-</v>
      </c>
      <c r="E37" s="91" t="str">
        <f t="shared" si="15"/>
        <v>K</v>
      </c>
      <c r="F37" s="91" t="s">
        <v>92</v>
      </c>
      <c r="G37" s="91" t="s">
        <v>295</v>
      </c>
      <c r="H37" s="91" t="s">
        <v>371</v>
      </c>
      <c r="I37" s="91" t="s">
        <v>208</v>
      </c>
      <c r="J37" s="91">
        <v>24</v>
      </c>
      <c r="K37" s="91" t="s">
        <v>106</v>
      </c>
      <c r="L37" s="91" t="s">
        <v>104</v>
      </c>
      <c r="M37" s="91" t="s">
        <v>47</v>
      </c>
      <c r="N37" s="328" t="s">
        <v>47</v>
      </c>
      <c r="O37" s="91" t="s">
        <v>226</v>
      </c>
      <c r="P37" s="328" t="s">
        <v>226</v>
      </c>
      <c r="Q37" s="91">
        <v>5</v>
      </c>
      <c r="R37" s="91">
        <v>6</v>
      </c>
      <c r="S37" s="91">
        <v>4</v>
      </c>
      <c r="T37" s="91">
        <v>6</v>
      </c>
      <c r="U37" s="328">
        <v>6</v>
      </c>
      <c r="V37" s="91">
        <v>5</v>
      </c>
      <c r="W37" s="91">
        <v>6</v>
      </c>
      <c r="X37" s="91">
        <v>4</v>
      </c>
      <c r="Y37" s="91">
        <v>7</v>
      </c>
      <c r="Z37" s="328">
        <v>6</v>
      </c>
      <c r="AA37" s="91">
        <v>4</v>
      </c>
      <c r="AB37" s="91">
        <v>4</v>
      </c>
      <c r="AC37" s="91">
        <v>6</v>
      </c>
      <c r="AD37" s="91">
        <v>5</v>
      </c>
      <c r="AE37" s="91" t="s">
        <v>41</v>
      </c>
      <c r="AF37" s="91" t="s">
        <v>41</v>
      </c>
      <c r="AG37" s="91" t="s">
        <v>41</v>
      </c>
      <c r="AH37" s="91" t="s">
        <v>41</v>
      </c>
      <c r="AI37" s="91" t="s">
        <v>41</v>
      </c>
      <c r="AJ37" s="91" t="s">
        <v>41</v>
      </c>
      <c r="AK37" s="328" t="s">
        <v>41</v>
      </c>
      <c r="AL37" s="91">
        <v>6</v>
      </c>
      <c r="AM37" s="91">
        <v>4</v>
      </c>
      <c r="AN37" s="328">
        <v>2</v>
      </c>
      <c r="AO37" s="92" t="s">
        <v>41</v>
      </c>
      <c r="AP37" s="328">
        <v>0</v>
      </c>
      <c r="AQ37" s="93">
        <f t="shared" si="16"/>
        <v>4.5</v>
      </c>
      <c r="AR37" s="94" t="str">
        <f t="shared" si="17"/>
        <v>Bench</v>
      </c>
      <c r="AS37" s="93">
        <f t="shared" si="18"/>
        <v>4.833333333333333</v>
      </c>
      <c r="AT37" s="93" t="str">
        <f t="shared" si="19"/>
        <v>Bench</v>
      </c>
      <c r="AU37" s="94">
        <f t="shared" si="20"/>
        <v>4.833333333333333</v>
      </c>
      <c r="AV37" s="94" t="str">
        <f t="shared" si="21"/>
        <v>Bench</v>
      </c>
      <c r="AW37" s="326">
        <f t="shared" si="22"/>
        <v>0</v>
      </c>
      <c r="AX37" s="327">
        <f t="shared" si="23"/>
        <v>0</v>
      </c>
      <c r="AY37" s="327">
        <f t="shared" si="24"/>
        <v>0</v>
      </c>
      <c r="AZ37" s="327">
        <f t="shared" si="25"/>
        <v>0</v>
      </c>
      <c r="BA37" s="327">
        <f t="shared" si="26"/>
        <v>0</v>
      </c>
      <c r="BB37" s="327">
        <f t="shared" si="27"/>
        <v>0</v>
      </c>
      <c r="BC37" s="327">
        <f t="shared" si="28"/>
        <v>0</v>
      </c>
      <c r="BD37" s="327">
        <f t="shared" si="29"/>
        <v>0</v>
      </c>
      <c r="BE37" s="328">
        <f t="shared" si="30"/>
        <v>0</v>
      </c>
      <c r="BF37" s="326">
        <f t="shared" si="31"/>
        <v>0</v>
      </c>
      <c r="BG37" s="327">
        <f t="shared" si="32"/>
        <v>0</v>
      </c>
      <c r="BH37" s="327">
        <f t="shared" si="33"/>
        <v>0</v>
      </c>
      <c r="BI37" s="327">
        <f t="shared" si="34"/>
        <v>0</v>
      </c>
      <c r="BJ37" s="327">
        <f t="shared" si="35"/>
        <v>0</v>
      </c>
      <c r="BK37" s="327">
        <f t="shared" si="36"/>
        <v>0</v>
      </c>
      <c r="BL37" s="327">
        <f t="shared" si="37"/>
        <v>1</v>
      </c>
      <c r="BM37" s="327">
        <f t="shared" si="38"/>
        <v>1</v>
      </c>
      <c r="BN37" s="328">
        <f t="shared" si="39"/>
        <v>1</v>
      </c>
      <c r="BO37" s="328">
        <f t="shared" si="40"/>
        <v>0</v>
      </c>
      <c r="BP37" s="96">
        <f t="shared" si="41"/>
        <v>1</v>
      </c>
      <c r="BQ37" s="91" t="str">
        <f t="shared" si="42"/>
        <v/>
      </c>
      <c r="BR37" s="91">
        <f>IF(Q37="-","-",VLOOKUP($G37,CTBat!$G$10:$AN$184,BR$9,FALSE)-Q37)</f>
        <v>0</v>
      </c>
      <c r="BS37" s="91">
        <f>IF(R37="-","-",VLOOKUP($G37,CTBat!$G$10:$AN$184,BS$9,FALSE)-R37)</f>
        <v>0</v>
      </c>
      <c r="BT37" s="91">
        <f>IF(S37="-","-",VLOOKUP($G37,CTBat!$G$10:$AN$184,BT$9,FALSE)-S37)</f>
        <v>0</v>
      </c>
      <c r="BU37" s="91">
        <f>IF(T37="-","-",VLOOKUP($G37,CTBat!$G$10:$AN$184,BU$9,FALSE)-T37)</f>
        <v>1</v>
      </c>
      <c r="BV37" s="91">
        <f>IF(U37="-","-",VLOOKUP($G37,CTBat!$G$10:$AN$184,BV$9,FALSE)-U37)</f>
        <v>0</v>
      </c>
      <c r="BW37" s="91">
        <f>IF(V37="-","-",VLOOKUP($G37,CTBat!$G$10:$AN$184,BW$9,FALSE)-V37)</f>
        <v>0</v>
      </c>
      <c r="BX37" s="91">
        <f>IF(W37="-","-",VLOOKUP($G37,CTBat!$G$10:$AN$184,BX$9,FALSE)-W37)</f>
        <v>0</v>
      </c>
      <c r="BY37" s="91">
        <f>IF(X37="-","-",VLOOKUP($G37,CTBat!$G$10:$AN$184,BY$9,FALSE)-X37)</f>
        <v>0</v>
      </c>
      <c r="BZ37" s="91">
        <f>IF(Y37="-","-",VLOOKUP($G37,CTBat!$G$10:$AN$184,BZ$9,FALSE)-Y37)</f>
        <v>0</v>
      </c>
      <c r="CA37" s="91">
        <f>IF(Z37="-","-",VLOOKUP($G37,CTBat!$G$10:$AN$184,CA$9,FALSE)-Z37)</f>
        <v>0</v>
      </c>
      <c r="CB37" s="91">
        <f>IF(AA37="-","-",VLOOKUP($G37,CTBat!$G$10:$AN$184,CB$9,FALSE)-AA37)</f>
        <v>0</v>
      </c>
      <c r="CC37" s="91">
        <f>IF(AB37="-","-",VLOOKUP($G37,CTBat!$G$10:$AN$184,CC$9,FALSE)-AB37)</f>
        <v>0</v>
      </c>
      <c r="CD37" s="91">
        <f>IF(AC37="-","-",VLOOKUP($G37,CTBat!$G$10:$AN$184,CD$9,FALSE)-AC37)</f>
        <v>0</v>
      </c>
      <c r="CE37" s="91">
        <f>IF(AD37="-","-",VLOOKUP($G37,CTBat!$G$10:$AN$184,CE$9,FALSE)-AD37)</f>
        <v>0</v>
      </c>
      <c r="CF37" s="91" t="str">
        <f>IF(AE37="-","-",VLOOKUP($G37,CTBat!$G$10:$AN$184,CF$9,FALSE)-AE37)</f>
        <v>-</v>
      </c>
      <c r="CG37" s="91" t="str">
        <f>IF(AF37="-","-",VLOOKUP($G37,CTBat!$G$10:$AN$184,CG$9,FALSE)-AF37)</f>
        <v>-</v>
      </c>
      <c r="CH37" s="91" t="str">
        <f>IF(AG37="-","-",VLOOKUP($G37,CTBat!$G$10:$AN$184,CH$9,FALSE)-AG37)</f>
        <v>-</v>
      </c>
      <c r="CI37" s="91" t="str">
        <f>IF(AH37="-","-",VLOOKUP($G37,CTBat!$G$10:$AN$184,CI$9,FALSE)-AH37)</f>
        <v>-</v>
      </c>
      <c r="CJ37" s="91" t="str">
        <f>IF(AI37="-","-",VLOOKUP($G37,CTBat!$G$10:$AN$184,CJ$9,FALSE)-AI37)</f>
        <v>-</v>
      </c>
      <c r="CK37" s="91" t="str">
        <f>IF(AJ37="-","-",VLOOKUP($G37,CTBat!$G$10:$AN$184,CK$9,FALSE)-AJ37)</f>
        <v>-</v>
      </c>
      <c r="CL37" s="91" t="str">
        <f>IF(AK37="-","-",VLOOKUP($G37,CTBat!$G$10:$AN$184,CL$9,FALSE)-AK37)</f>
        <v>-</v>
      </c>
      <c r="CM37" s="91">
        <f>IF(AL37="-","-",VLOOKUP($G37,CTBat!$G$10:$AN$184,CM$9,FALSE)-AL37)</f>
        <v>-1</v>
      </c>
      <c r="CN37" s="91">
        <f>IF(AM37="-","-",VLOOKUP($G37,CTBat!$G$10:$AN$184,CN$9,FALSE)-AM37)</f>
        <v>0</v>
      </c>
      <c r="CO37" s="91">
        <f>IF(AN37="-","-",VLOOKUP($G37,CTBat!$G$10:$AN$184,CO$9,FALSE)-AN37)</f>
        <v>1</v>
      </c>
      <c r="CP37" s="91">
        <f t="shared" si="43"/>
        <v>1</v>
      </c>
      <c r="CQ37" s="91">
        <f t="shared" si="44"/>
        <v>0</v>
      </c>
      <c r="CR37" s="91">
        <f t="shared" si="45"/>
        <v>0</v>
      </c>
      <c r="CS37" s="91">
        <f t="shared" si="46"/>
        <v>0</v>
      </c>
      <c r="CT37" s="91">
        <f t="shared" si="47"/>
        <v>1</v>
      </c>
    </row>
    <row r="38" spans="1:98">
      <c r="C38">
        <f t="shared" si="13"/>
        <v>2</v>
      </c>
      <c r="D38">
        <f t="shared" si="14"/>
        <v>2</v>
      </c>
      <c r="E38" t="str">
        <f t="shared" si="15"/>
        <v>K</v>
      </c>
      <c r="F38" t="s">
        <v>95</v>
      </c>
      <c r="G38" t="s">
        <v>233</v>
      </c>
      <c r="H38" t="s">
        <v>372</v>
      </c>
      <c r="I38" t="s">
        <v>209</v>
      </c>
      <c r="J38">
        <v>26</v>
      </c>
      <c r="K38" t="s">
        <v>104</v>
      </c>
      <c r="L38" t="s">
        <v>104</v>
      </c>
      <c r="M38" t="s">
        <v>47</v>
      </c>
      <c r="N38" s="3" t="s">
        <v>47</v>
      </c>
      <c r="O38" t="s">
        <v>224</v>
      </c>
      <c r="P38" s="3" t="s">
        <v>223</v>
      </c>
      <c r="Q38">
        <v>7</v>
      </c>
      <c r="R38">
        <v>6</v>
      </c>
      <c r="S38">
        <v>1</v>
      </c>
      <c r="T38">
        <v>3</v>
      </c>
      <c r="U38" s="3">
        <v>10</v>
      </c>
      <c r="V38">
        <v>7</v>
      </c>
      <c r="W38">
        <v>7</v>
      </c>
      <c r="X38">
        <v>1</v>
      </c>
      <c r="Y38">
        <v>4</v>
      </c>
      <c r="Z38" s="3">
        <v>10</v>
      </c>
      <c r="AA38">
        <v>4</v>
      </c>
      <c r="AB38">
        <v>3</v>
      </c>
      <c r="AC38">
        <v>1</v>
      </c>
      <c r="AD38" t="s">
        <v>41</v>
      </c>
      <c r="AE38" t="s">
        <v>41</v>
      </c>
      <c r="AF38">
        <v>8</v>
      </c>
      <c r="AG38" t="s">
        <v>41</v>
      </c>
      <c r="AH38">
        <v>1</v>
      </c>
      <c r="AI38" t="s">
        <v>41</v>
      </c>
      <c r="AJ38" t="s">
        <v>41</v>
      </c>
      <c r="AK38" s="3" t="s">
        <v>41</v>
      </c>
      <c r="AL38">
        <v>6</v>
      </c>
      <c r="AM38">
        <v>7</v>
      </c>
      <c r="AN38" s="3">
        <v>6</v>
      </c>
      <c r="AO38" s="85" t="s">
        <v>41</v>
      </c>
      <c r="AP38" s="3">
        <v>0</v>
      </c>
      <c r="AQ38" s="6">
        <f t="shared" si="16"/>
        <v>3.6666666666666665</v>
      </c>
      <c r="AR38" s="9" t="str">
        <f t="shared" si="17"/>
        <v>Minors</v>
      </c>
      <c r="AS38" s="6">
        <f t="shared" si="18"/>
        <v>4</v>
      </c>
      <c r="AT38" s="6" t="str">
        <f t="shared" si="19"/>
        <v>Minors</v>
      </c>
      <c r="AU38" s="9">
        <f t="shared" si="20"/>
        <v>3.6666666666666665</v>
      </c>
      <c r="AV38" s="9" t="str">
        <f t="shared" si="21"/>
        <v>Minors</v>
      </c>
      <c r="AW38" s="53">
        <f t="shared" si="22"/>
        <v>0</v>
      </c>
      <c r="AX38" s="5">
        <f t="shared" si="23"/>
        <v>1</v>
      </c>
      <c r="AY38" s="5">
        <f t="shared" si="24"/>
        <v>0</v>
      </c>
      <c r="AZ38" s="5">
        <f t="shared" si="25"/>
        <v>0</v>
      </c>
      <c r="BA38" s="5">
        <f t="shared" si="26"/>
        <v>0</v>
      </c>
      <c r="BB38" s="5">
        <f t="shared" si="27"/>
        <v>1</v>
      </c>
      <c r="BC38" s="5">
        <f t="shared" si="28"/>
        <v>1</v>
      </c>
      <c r="BD38" s="5">
        <f t="shared" si="29"/>
        <v>1</v>
      </c>
      <c r="BE38" s="3">
        <f t="shared" si="30"/>
        <v>1</v>
      </c>
      <c r="BF38" s="53">
        <f t="shared" si="31"/>
        <v>0</v>
      </c>
      <c r="BG38" s="5">
        <f t="shared" si="32"/>
        <v>1</v>
      </c>
      <c r="BH38" s="5">
        <f t="shared" si="33"/>
        <v>0</v>
      </c>
      <c r="BI38" s="5">
        <f t="shared" si="34"/>
        <v>0</v>
      </c>
      <c r="BJ38" s="5">
        <f t="shared" si="35"/>
        <v>0</v>
      </c>
      <c r="BK38" s="5">
        <f t="shared" si="36"/>
        <v>1</v>
      </c>
      <c r="BL38" s="5">
        <f t="shared" si="37"/>
        <v>1</v>
      </c>
      <c r="BM38" s="5">
        <f t="shared" si="38"/>
        <v>1</v>
      </c>
      <c r="BN38" s="3">
        <f t="shared" si="39"/>
        <v>1</v>
      </c>
      <c r="BO38" s="3">
        <f t="shared" si="40"/>
        <v>0</v>
      </c>
      <c r="BP38" s="7">
        <f t="shared" si="41"/>
        <v>2</v>
      </c>
      <c r="BQ38" t="str">
        <f t="shared" si="42"/>
        <v/>
      </c>
      <c r="BR38" s="91">
        <f>IF(Q38="-","-",VLOOKUP($G38,CTBat!$G$10:$AN$184,BR$9,FALSE)-Q38)</f>
        <v>0</v>
      </c>
      <c r="BS38" s="91">
        <f>IF(R38="-","-",VLOOKUP($G38,CTBat!$G$10:$AN$184,BS$9,FALSE)-R38)</f>
        <v>1</v>
      </c>
      <c r="BT38" s="91">
        <f>IF(S38="-","-",VLOOKUP($G38,CTBat!$G$10:$AN$184,BT$9,FALSE)-S38)</f>
        <v>0</v>
      </c>
      <c r="BU38" s="91">
        <f>IF(T38="-","-",VLOOKUP($G38,CTBat!$G$10:$AN$184,BU$9,FALSE)-T38)</f>
        <v>0</v>
      </c>
      <c r="BV38" s="91">
        <f>IF(U38="-","-",VLOOKUP($G38,CTBat!$G$10:$AN$184,BV$9,FALSE)-U38)</f>
        <v>0</v>
      </c>
      <c r="BW38" s="91">
        <f>IF(V38="-","-",VLOOKUP($G38,CTBat!$G$10:$AN$184,BW$9,FALSE)-V38)</f>
        <v>0</v>
      </c>
      <c r="BX38" s="91">
        <f>IF(W38="-","-",VLOOKUP($G38,CTBat!$G$10:$AN$184,BX$9,FALSE)-W38)</f>
        <v>0</v>
      </c>
      <c r="BY38" s="91">
        <f>IF(X38="-","-",VLOOKUP($G38,CTBat!$G$10:$AN$184,BY$9,FALSE)-X38)</f>
        <v>0</v>
      </c>
      <c r="BZ38" s="91">
        <f>IF(Y38="-","-",VLOOKUP($G38,CTBat!$G$10:$AN$184,BZ$9,FALSE)-Y38)</f>
        <v>0</v>
      </c>
      <c r="CA38" s="91">
        <f>IF(Z38="-","-",VLOOKUP($G38,CTBat!$G$10:$AN$184,CA$9,FALSE)-Z38)</f>
        <v>0</v>
      </c>
      <c r="CB38" s="91">
        <f>IF(AA38="-","-",VLOOKUP($G38,CTBat!$G$10:$AN$184,CB$9,FALSE)-AA38)</f>
        <v>0</v>
      </c>
      <c r="CC38" s="91">
        <f>IF(AB38="-","-",VLOOKUP($G38,CTBat!$G$10:$AN$184,CC$9,FALSE)-AB38)</f>
        <v>0</v>
      </c>
      <c r="CD38" s="91">
        <f>IF(AC38="-","-",VLOOKUP($G38,CTBat!$G$10:$AN$184,CD$9,FALSE)-AC38)</f>
        <v>0</v>
      </c>
      <c r="CE38" s="91" t="str">
        <f>IF(AD38="-","-",VLOOKUP($G38,CTBat!$G$10:$AN$184,CE$9,FALSE)-AD38)</f>
        <v>-</v>
      </c>
      <c r="CF38" s="91" t="str">
        <f>IF(AE38="-","-",VLOOKUP($G38,CTBat!$G$10:$AN$184,CF$9,FALSE)-AE38)</f>
        <v>-</v>
      </c>
      <c r="CG38" s="91">
        <f>IF(AF38="-","-",VLOOKUP($G38,CTBat!$G$10:$AN$184,CG$9,FALSE)-AF38)</f>
        <v>0</v>
      </c>
      <c r="CH38" s="91" t="str">
        <f>IF(AG38="-","-",VLOOKUP($G38,CTBat!$G$10:$AN$184,CH$9,FALSE)-AG38)</f>
        <v>-</v>
      </c>
      <c r="CI38" s="91">
        <f>IF(AH38="-","-",VLOOKUP($G38,CTBat!$G$10:$AN$184,CI$9,FALSE)-AH38)</f>
        <v>0</v>
      </c>
      <c r="CJ38" s="91" t="str">
        <f>IF(AI38="-","-",VLOOKUP($G38,CTBat!$G$10:$AN$184,CJ$9,FALSE)-AI38)</f>
        <v>-</v>
      </c>
      <c r="CK38" s="91" t="str">
        <f>IF(AJ38="-","-",VLOOKUP($G38,CTBat!$G$10:$AN$184,CK$9,FALSE)-AJ38)</f>
        <v>-</v>
      </c>
      <c r="CL38" s="91" t="str">
        <f>IF(AK38="-","-",VLOOKUP($G38,CTBat!$G$10:$AN$184,CL$9,FALSE)-AK38)</f>
        <v>-</v>
      </c>
      <c r="CM38" s="91">
        <f>IF(AL38="-","-",VLOOKUP($G38,CTBat!$G$10:$AN$184,CM$9,FALSE)-AL38)</f>
        <v>0</v>
      </c>
      <c r="CN38" s="91">
        <f>IF(AM38="-","-",VLOOKUP($G38,CTBat!$G$10:$AN$184,CN$9,FALSE)-AM38)</f>
        <v>0</v>
      </c>
      <c r="CO38" s="91">
        <f>IF(AN38="-","-",VLOOKUP($G38,CTBat!$G$10:$AN$184,CO$9,FALSE)-AN38)</f>
        <v>0</v>
      </c>
      <c r="CP38" s="91">
        <f t="shared" si="43"/>
        <v>1</v>
      </c>
      <c r="CQ38" s="91">
        <f t="shared" si="44"/>
        <v>0</v>
      </c>
      <c r="CR38" s="91">
        <f t="shared" si="45"/>
        <v>0</v>
      </c>
      <c r="CS38" s="91">
        <f t="shared" si="46"/>
        <v>0</v>
      </c>
      <c r="CT38" s="91">
        <f t="shared" si="47"/>
        <v>1</v>
      </c>
    </row>
    <row r="39" spans="1:98">
      <c r="C39" t="str">
        <f t="shared" si="13"/>
        <v>-</v>
      </c>
      <c r="D39" t="str">
        <f t="shared" si="14"/>
        <v>-</v>
      </c>
      <c r="E39" t="str">
        <f t="shared" si="15"/>
        <v>K</v>
      </c>
      <c r="F39" t="s">
        <v>95</v>
      </c>
      <c r="G39" t="s">
        <v>443</v>
      </c>
      <c r="H39" t="s">
        <v>373</v>
      </c>
      <c r="I39" t="s">
        <v>210</v>
      </c>
      <c r="J39">
        <v>24</v>
      </c>
      <c r="K39" t="s">
        <v>104</v>
      </c>
      <c r="L39" t="s">
        <v>104</v>
      </c>
      <c r="M39" t="s">
        <v>47</v>
      </c>
      <c r="N39" s="325" t="s">
        <v>47</v>
      </c>
      <c r="O39" t="s">
        <v>223</v>
      </c>
      <c r="P39" s="325" t="s">
        <v>225</v>
      </c>
      <c r="Q39">
        <v>5</v>
      </c>
      <c r="R39">
        <v>5</v>
      </c>
      <c r="S39">
        <v>3</v>
      </c>
      <c r="T39">
        <v>3</v>
      </c>
      <c r="U39" s="325">
        <v>4</v>
      </c>
      <c r="V39">
        <v>5</v>
      </c>
      <c r="W39">
        <v>5</v>
      </c>
      <c r="X39">
        <v>3</v>
      </c>
      <c r="Y39">
        <v>4</v>
      </c>
      <c r="Z39" s="325">
        <v>5</v>
      </c>
      <c r="AA39">
        <v>10</v>
      </c>
      <c r="AB39">
        <v>2</v>
      </c>
      <c r="AC39">
        <v>1</v>
      </c>
      <c r="AD39" t="s">
        <v>41</v>
      </c>
      <c r="AE39">
        <v>10</v>
      </c>
      <c r="AF39">
        <v>7</v>
      </c>
      <c r="AG39">
        <v>6</v>
      </c>
      <c r="AH39">
        <v>5</v>
      </c>
      <c r="AI39" t="s">
        <v>41</v>
      </c>
      <c r="AJ39" t="s">
        <v>41</v>
      </c>
      <c r="AK39" s="325" t="s">
        <v>41</v>
      </c>
      <c r="AL39">
        <v>4</v>
      </c>
      <c r="AM39">
        <v>5</v>
      </c>
      <c r="AN39" s="325">
        <v>7</v>
      </c>
      <c r="AO39" s="85" t="s">
        <v>41</v>
      </c>
      <c r="AP39" s="325" t="s">
        <v>45</v>
      </c>
      <c r="AQ39" s="6">
        <f t="shared" si="16"/>
        <v>3.1666666666666665</v>
      </c>
      <c r="AR39" s="9" t="str">
        <f t="shared" si="17"/>
        <v>Minors</v>
      </c>
      <c r="AS39" s="6">
        <f t="shared" si="18"/>
        <v>3.5</v>
      </c>
      <c r="AT39" s="6" t="str">
        <f t="shared" si="19"/>
        <v>Minors</v>
      </c>
      <c r="AU39" s="9">
        <f t="shared" si="20"/>
        <v>3.5</v>
      </c>
      <c r="AV39" s="9" t="str">
        <f t="shared" si="21"/>
        <v>Minors</v>
      </c>
      <c r="AW39" s="323">
        <f t="shared" si="22"/>
        <v>0</v>
      </c>
      <c r="AX39" s="324">
        <f t="shared" si="23"/>
        <v>0</v>
      </c>
      <c r="AY39" s="324">
        <f t="shared" si="24"/>
        <v>0</v>
      </c>
      <c r="AZ39" s="324">
        <f t="shared" si="25"/>
        <v>0</v>
      </c>
      <c r="BA39" s="324">
        <f t="shared" si="26"/>
        <v>0</v>
      </c>
      <c r="BB39" s="324">
        <f t="shared" si="27"/>
        <v>0</v>
      </c>
      <c r="BC39" s="324">
        <f t="shared" si="28"/>
        <v>0</v>
      </c>
      <c r="BD39" s="324">
        <f t="shared" si="29"/>
        <v>0</v>
      </c>
      <c r="BE39" s="325">
        <f t="shared" si="30"/>
        <v>0</v>
      </c>
      <c r="BF39" s="323">
        <f t="shared" si="31"/>
        <v>0</v>
      </c>
      <c r="BG39" s="324">
        <f t="shared" si="32"/>
        <v>0</v>
      </c>
      <c r="BH39" s="324">
        <f t="shared" si="33"/>
        <v>0</v>
      </c>
      <c r="BI39" s="324">
        <f t="shared" si="34"/>
        <v>0</v>
      </c>
      <c r="BJ39" s="324">
        <f t="shared" si="35"/>
        <v>0</v>
      </c>
      <c r="BK39" s="324">
        <f t="shared" si="36"/>
        <v>0</v>
      </c>
      <c r="BL39" s="324">
        <f t="shared" si="37"/>
        <v>0</v>
      </c>
      <c r="BM39" s="324">
        <f t="shared" si="38"/>
        <v>0</v>
      </c>
      <c r="BN39" s="325">
        <f t="shared" si="39"/>
        <v>0</v>
      </c>
      <c r="BO39" s="325">
        <f t="shared" si="40"/>
        <v>1</v>
      </c>
      <c r="BP39" s="7">
        <f t="shared" si="41"/>
        <v>2</v>
      </c>
      <c r="BQ39" t="str">
        <f t="shared" si="42"/>
        <v/>
      </c>
      <c r="BR39" s="91">
        <f>IF(Q39="-","-",VLOOKUP($G39,CTBat!$G$10:$AN$184,BR$9,FALSE)-Q39)</f>
        <v>0</v>
      </c>
      <c r="BS39" s="91">
        <f>IF(R39="-","-",VLOOKUP($G39,CTBat!$G$10:$AN$184,BS$9,FALSE)-R39)</f>
        <v>0</v>
      </c>
      <c r="BT39" s="91">
        <f>IF(S39="-","-",VLOOKUP($G39,CTBat!$G$10:$AN$184,BT$9,FALSE)-S39)</f>
        <v>0</v>
      </c>
      <c r="BU39" s="91">
        <f>IF(T39="-","-",VLOOKUP($G39,CTBat!$G$10:$AN$184,BU$9,FALSE)-T39)</f>
        <v>0</v>
      </c>
      <c r="BV39" s="91">
        <f>IF(U39="-","-",VLOOKUP($G39,CTBat!$G$10:$AN$184,BV$9,FALSE)-U39)</f>
        <v>0</v>
      </c>
      <c r="BW39" s="91">
        <f>IF(V39="-","-",VLOOKUP($G39,CTBat!$G$10:$AN$184,BW$9,FALSE)-V39)</f>
        <v>0</v>
      </c>
      <c r="BX39" s="91">
        <f>IF(W39="-","-",VLOOKUP($G39,CTBat!$G$10:$AN$184,BX$9,FALSE)-W39)</f>
        <v>0</v>
      </c>
      <c r="BY39" s="91">
        <f>IF(X39="-","-",VLOOKUP($G39,CTBat!$G$10:$AN$184,BY$9,FALSE)-X39)</f>
        <v>0</v>
      </c>
      <c r="BZ39" s="91">
        <f>IF(Y39="-","-",VLOOKUP($G39,CTBat!$G$10:$AN$184,BZ$9,FALSE)-Y39)</f>
        <v>0</v>
      </c>
      <c r="CA39" s="91">
        <f>IF(Z39="-","-",VLOOKUP($G39,CTBat!$G$10:$AN$184,CA$9,FALSE)-Z39)</f>
        <v>0</v>
      </c>
      <c r="CB39" s="91">
        <f>IF(AA39="-","-",VLOOKUP($G39,CTBat!$G$10:$AN$184,CB$9,FALSE)-AA39)</f>
        <v>0</v>
      </c>
      <c r="CC39" s="91">
        <f>IF(AB39="-","-",VLOOKUP($G39,CTBat!$G$10:$AN$184,CC$9,FALSE)-AB39)</f>
        <v>0</v>
      </c>
      <c r="CD39" s="91">
        <f>IF(AC39="-","-",VLOOKUP($G39,CTBat!$G$10:$AN$184,CD$9,FALSE)-AC39)</f>
        <v>0</v>
      </c>
      <c r="CE39" s="91" t="str">
        <f>IF(AD39="-","-",VLOOKUP($G39,CTBat!$G$10:$AN$184,CE$9,FALSE)-AD39)</f>
        <v>-</v>
      </c>
      <c r="CF39" s="91">
        <f>IF(AE39="-","-",VLOOKUP($G39,CTBat!$G$10:$AN$184,CF$9,FALSE)-AE39)</f>
        <v>0</v>
      </c>
      <c r="CG39" s="91">
        <f>IF(AF39="-","-",VLOOKUP($G39,CTBat!$G$10:$AN$184,CG$9,FALSE)-AF39)</f>
        <v>1</v>
      </c>
      <c r="CH39" s="91">
        <f>IF(AG39="-","-",VLOOKUP($G39,CTBat!$G$10:$AN$184,CH$9,FALSE)-AG39)</f>
        <v>0</v>
      </c>
      <c r="CI39" s="91">
        <f>IF(AH39="-","-",VLOOKUP($G39,CTBat!$G$10:$AN$184,CI$9,FALSE)-AH39)</f>
        <v>0</v>
      </c>
      <c r="CJ39" s="91" t="str">
        <f>IF(AI39="-","-",VLOOKUP($G39,CTBat!$G$10:$AN$184,CJ$9,FALSE)-AI39)</f>
        <v>-</v>
      </c>
      <c r="CK39" s="91" t="str">
        <f>IF(AJ39="-","-",VLOOKUP($G39,CTBat!$G$10:$AN$184,CK$9,FALSE)-AJ39)</f>
        <v>-</v>
      </c>
      <c r="CL39" s="91" t="str">
        <f>IF(AK39="-","-",VLOOKUP($G39,CTBat!$G$10:$AN$184,CL$9,FALSE)-AK39)</f>
        <v>-</v>
      </c>
      <c r="CM39" s="91">
        <f>IF(AL39="-","-",VLOOKUP($G39,CTBat!$G$10:$AN$184,CM$9,FALSE)-AL39)</f>
        <v>0</v>
      </c>
      <c r="CN39" s="91">
        <f>IF(AM39="-","-",VLOOKUP($G39,CTBat!$G$10:$AN$184,CN$9,FALSE)-AM39)</f>
        <v>0</v>
      </c>
      <c r="CO39" s="91">
        <f>IF(AN39="-","-",VLOOKUP($G39,CTBat!$G$10:$AN$184,CO$9,FALSE)-AN39)</f>
        <v>0</v>
      </c>
      <c r="CP39" s="91">
        <f t="shared" si="43"/>
        <v>0</v>
      </c>
      <c r="CQ39" s="91">
        <f t="shared" si="44"/>
        <v>0</v>
      </c>
      <c r="CR39" s="91">
        <f t="shared" si="45"/>
        <v>1</v>
      </c>
      <c r="CS39" s="91">
        <f t="shared" si="46"/>
        <v>0</v>
      </c>
      <c r="CT39" s="91">
        <f t="shared" si="47"/>
        <v>1</v>
      </c>
    </row>
    <row r="40" spans="1:98">
      <c r="C40" t="str">
        <f t="shared" si="13"/>
        <v>-</v>
      </c>
      <c r="D40" t="str">
        <f t="shared" si="14"/>
        <v>-</v>
      </c>
      <c r="E40" t="str">
        <f t="shared" si="15"/>
        <v>K</v>
      </c>
      <c r="F40" t="s">
        <v>97</v>
      </c>
      <c r="G40" t="s">
        <v>385</v>
      </c>
      <c r="H40" t="s">
        <v>373</v>
      </c>
      <c r="I40" t="s">
        <v>210</v>
      </c>
      <c r="J40">
        <v>24</v>
      </c>
      <c r="K40" t="s">
        <v>104</v>
      </c>
      <c r="L40" t="s">
        <v>104</v>
      </c>
      <c r="M40" t="s">
        <v>47</v>
      </c>
      <c r="N40" s="269" t="s">
        <v>47</v>
      </c>
      <c r="O40" t="s">
        <v>224</v>
      </c>
      <c r="P40" s="269" t="s">
        <v>226</v>
      </c>
      <c r="Q40">
        <v>4</v>
      </c>
      <c r="R40">
        <v>4</v>
      </c>
      <c r="S40">
        <v>2</v>
      </c>
      <c r="T40">
        <v>4</v>
      </c>
      <c r="U40" s="269">
        <v>4</v>
      </c>
      <c r="V40">
        <v>5</v>
      </c>
      <c r="W40">
        <v>4</v>
      </c>
      <c r="X40">
        <v>2</v>
      </c>
      <c r="Y40">
        <v>5</v>
      </c>
      <c r="Z40" s="269">
        <v>4</v>
      </c>
      <c r="AA40">
        <v>6</v>
      </c>
      <c r="AB40">
        <v>2</v>
      </c>
      <c r="AC40">
        <v>1</v>
      </c>
      <c r="AD40" t="s">
        <v>41</v>
      </c>
      <c r="AE40">
        <v>8</v>
      </c>
      <c r="AF40">
        <v>7</v>
      </c>
      <c r="AG40">
        <v>1</v>
      </c>
      <c r="AH40">
        <v>9</v>
      </c>
      <c r="AI40" t="s">
        <v>41</v>
      </c>
      <c r="AJ40" t="s">
        <v>41</v>
      </c>
      <c r="AK40" s="269" t="s">
        <v>41</v>
      </c>
      <c r="AL40">
        <v>7</v>
      </c>
      <c r="AM40">
        <v>8</v>
      </c>
      <c r="AN40" s="269">
        <v>10</v>
      </c>
      <c r="AO40" s="85" t="s">
        <v>41</v>
      </c>
      <c r="AP40" s="269">
        <v>0</v>
      </c>
      <c r="AQ40" s="6">
        <f t="shared" si="16"/>
        <v>2.3333333333333335</v>
      </c>
      <c r="AR40" s="9" t="str">
        <f t="shared" si="17"/>
        <v>Minors</v>
      </c>
      <c r="AS40" s="6">
        <f t="shared" si="18"/>
        <v>3.5</v>
      </c>
      <c r="AT40" s="6" t="str">
        <f t="shared" si="19"/>
        <v>Minors</v>
      </c>
      <c r="AU40" s="9">
        <f t="shared" si="20"/>
        <v>3.3333333333333335</v>
      </c>
      <c r="AV40" s="9" t="str">
        <f t="shared" si="21"/>
        <v>Minors</v>
      </c>
      <c r="AW40" s="53">
        <f t="shared" si="22"/>
        <v>0</v>
      </c>
      <c r="AX40" s="268">
        <f t="shared" si="23"/>
        <v>0</v>
      </c>
      <c r="AY40" s="268">
        <f t="shared" si="24"/>
        <v>0</v>
      </c>
      <c r="AZ40" s="268">
        <f t="shared" si="25"/>
        <v>0</v>
      </c>
      <c r="BA40" s="268">
        <f t="shared" si="26"/>
        <v>0</v>
      </c>
      <c r="BB40" s="268">
        <f t="shared" si="27"/>
        <v>0</v>
      </c>
      <c r="BC40" s="268">
        <f t="shared" si="28"/>
        <v>0</v>
      </c>
      <c r="BD40" s="268">
        <f t="shared" si="29"/>
        <v>0</v>
      </c>
      <c r="BE40" s="269">
        <f t="shared" si="30"/>
        <v>0</v>
      </c>
      <c r="BF40" s="53">
        <f t="shared" si="31"/>
        <v>0</v>
      </c>
      <c r="BG40" s="268">
        <f t="shared" si="32"/>
        <v>0</v>
      </c>
      <c r="BH40" s="268">
        <f t="shared" si="33"/>
        <v>0</v>
      </c>
      <c r="BI40" s="268">
        <f t="shared" si="34"/>
        <v>0</v>
      </c>
      <c r="BJ40" s="268">
        <f t="shared" si="35"/>
        <v>0</v>
      </c>
      <c r="BK40" s="268">
        <f t="shared" si="36"/>
        <v>0</v>
      </c>
      <c r="BL40" s="268">
        <f t="shared" si="37"/>
        <v>0</v>
      </c>
      <c r="BM40" s="268">
        <f t="shared" si="38"/>
        <v>0</v>
      </c>
      <c r="BN40" s="269">
        <f t="shared" si="39"/>
        <v>0</v>
      </c>
      <c r="BO40" s="269">
        <f t="shared" si="40"/>
        <v>4</v>
      </c>
      <c r="BP40" s="7">
        <f t="shared" si="41"/>
        <v>2</v>
      </c>
      <c r="BQ40" t="str">
        <f t="shared" si="42"/>
        <v/>
      </c>
      <c r="BR40" s="91">
        <f>IF(Q40="-","-",VLOOKUP($G40,CTBat!$G$10:$AN$184,BR$9,FALSE)-Q40)</f>
        <v>1</v>
      </c>
      <c r="BS40" s="91">
        <f>IF(R40="-","-",VLOOKUP($G40,CTBat!$G$10:$AN$184,BS$9,FALSE)-R40)</f>
        <v>0</v>
      </c>
      <c r="BT40" s="91">
        <f>IF(S40="-","-",VLOOKUP($G40,CTBat!$G$10:$AN$184,BT$9,FALSE)-S40)</f>
        <v>0</v>
      </c>
      <c r="BU40" s="91">
        <f>IF(T40="-","-",VLOOKUP($G40,CTBat!$G$10:$AN$184,BU$9,FALSE)-T40)</f>
        <v>1</v>
      </c>
      <c r="BV40" s="91">
        <f>IF(U40="-","-",VLOOKUP($G40,CTBat!$G$10:$AN$184,BV$9,FALSE)-U40)</f>
        <v>0</v>
      </c>
      <c r="BW40" s="91">
        <f>IF(V40="-","-",VLOOKUP($G40,CTBat!$G$10:$AN$184,BW$9,FALSE)-V40)</f>
        <v>0</v>
      </c>
      <c r="BX40" s="91">
        <f>IF(W40="-","-",VLOOKUP($G40,CTBat!$G$10:$AN$184,BX$9,FALSE)-W40)</f>
        <v>0</v>
      </c>
      <c r="BY40" s="91">
        <f>IF(X40="-","-",VLOOKUP($G40,CTBat!$G$10:$AN$184,BY$9,FALSE)-X40)</f>
        <v>0</v>
      </c>
      <c r="BZ40" s="91">
        <f>IF(Y40="-","-",VLOOKUP($G40,CTBat!$G$10:$AN$184,BZ$9,FALSE)-Y40)</f>
        <v>0</v>
      </c>
      <c r="CA40" s="91">
        <f>IF(Z40="-","-",VLOOKUP($G40,CTBat!$G$10:$AN$184,CA$9,FALSE)-Z40)</f>
        <v>0</v>
      </c>
      <c r="CB40" s="91">
        <f>IF(AA40="-","-",VLOOKUP($G40,CTBat!$G$10:$AN$184,CB$9,FALSE)-AA40)</f>
        <v>0</v>
      </c>
      <c r="CC40" s="91">
        <f>IF(AB40="-","-",VLOOKUP($G40,CTBat!$G$10:$AN$184,CC$9,FALSE)-AB40)</f>
        <v>0</v>
      </c>
      <c r="CD40" s="91">
        <f>IF(AC40="-","-",VLOOKUP($G40,CTBat!$G$10:$AN$184,CD$9,FALSE)-AC40)</f>
        <v>0</v>
      </c>
      <c r="CE40" s="91" t="str">
        <f>IF(AD40="-","-",VLOOKUP($G40,CTBat!$G$10:$AN$184,CE$9,FALSE)-AD40)</f>
        <v>-</v>
      </c>
      <c r="CF40" s="91">
        <f>IF(AE40="-","-",VLOOKUP($G40,CTBat!$G$10:$AN$184,CF$9,FALSE)-AE40)</f>
        <v>0</v>
      </c>
      <c r="CG40" s="91">
        <f>IF(AF40="-","-",VLOOKUP($G40,CTBat!$G$10:$AN$184,CG$9,FALSE)-AF40)</f>
        <v>-1</v>
      </c>
      <c r="CH40" s="91">
        <f>IF(AG40="-","-",VLOOKUP($G40,CTBat!$G$10:$AN$184,CH$9,FALSE)-AG40)</f>
        <v>0</v>
      </c>
      <c r="CI40" s="91">
        <f>IF(AH40="-","-",VLOOKUP($G40,CTBat!$G$10:$AN$184,CI$9,FALSE)-AH40)</f>
        <v>0</v>
      </c>
      <c r="CJ40" s="91" t="str">
        <f>IF(AI40="-","-",VLOOKUP($G40,CTBat!$G$10:$AN$184,CJ$9,FALSE)-AI40)</f>
        <v>-</v>
      </c>
      <c r="CK40" s="91" t="str">
        <f>IF(AJ40="-","-",VLOOKUP($G40,CTBat!$G$10:$AN$184,CK$9,FALSE)-AJ40)</f>
        <v>-</v>
      </c>
      <c r="CL40" s="91" t="str">
        <f>IF(AK40="-","-",VLOOKUP($G40,CTBat!$G$10:$AN$184,CL$9,FALSE)-AK40)</f>
        <v>-</v>
      </c>
      <c r="CM40" s="91">
        <f>IF(AL40="-","-",VLOOKUP($G40,CTBat!$G$10:$AN$184,CM$9,FALSE)-AL40)</f>
        <v>0</v>
      </c>
      <c r="CN40" s="91">
        <f>IF(AM40="-","-",VLOOKUP($G40,CTBat!$G$10:$AN$184,CN$9,FALSE)-AM40)</f>
        <v>0</v>
      </c>
      <c r="CO40" s="91">
        <f>IF(AN40="-","-",VLOOKUP($G40,CTBat!$G$10:$AN$184,CO$9,FALSE)-AN40)</f>
        <v>0</v>
      </c>
      <c r="CP40" s="91">
        <f t="shared" si="43"/>
        <v>2</v>
      </c>
      <c r="CQ40" s="91">
        <f t="shared" si="44"/>
        <v>0</v>
      </c>
      <c r="CR40" s="91">
        <f t="shared" si="45"/>
        <v>-1</v>
      </c>
      <c r="CS40" s="91">
        <f t="shared" si="46"/>
        <v>0</v>
      </c>
      <c r="CT40" s="91">
        <f t="shared" si="47"/>
        <v>1</v>
      </c>
    </row>
    <row r="41" spans="1:98">
      <c r="C41">
        <f t="shared" si="13"/>
        <v>8</v>
      </c>
      <c r="D41">
        <f t="shared" si="14"/>
        <v>8</v>
      </c>
      <c r="E41" t="str">
        <f t="shared" si="15"/>
        <v>K</v>
      </c>
      <c r="F41" t="s">
        <v>92</v>
      </c>
      <c r="G41" t="s">
        <v>439</v>
      </c>
      <c r="H41" t="s">
        <v>370</v>
      </c>
      <c r="I41" t="s">
        <v>316</v>
      </c>
      <c r="J41">
        <v>25</v>
      </c>
      <c r="K41" t="s">
        <v>104</v>
      </c>
      <c r="L41" t="s">
        <v>104</v>
      </c>
      <c r="M41" t="s">
        <v>47</v>
      </c>
      <c r="N41" s="215" t="s">
        <v>47</v>
      </c>
      <c r="O41" t="s">
        <v>225</v>
      </c>
      <c r="P41" s="215" t="s">
        <v>223</v>
      </c>
      <c r="Q41">
        <v>5</v>
      </c>
      <c r="R41">
        <v>9</v>
      </c>
      <c r="S41">
        <v>3</v>
      </c>
      <c r="T41">
        <v>3</v>
      </c>
      <c r="U41" s="215">
        <v>4</v>
      </c>
      <c r="V41">
        <v>5</v>
      </c>
      <c r="W41">
        <v>9</v>
      </c>
      <c r="X41">
        <v>3</v>
      </c>
      <c r="Y41">
        <v>3</v>
      </c>
      <c r="Z41" s="215">
        <v>4</v>
      </c>
      <c r="AA41">
        <v>6</v>
      </c>
      <c r="AB41">
        <v>7</v>
      </c>
      <c r="AC41">
        <v>8</v>
      </c>
      <c r="AD41">
        <v>9</v>
      </c>
      <c r="AE41" t="s">
        <v>41</v>
      </c>
      <c r="AF41" t="s">
        <v>41</v>
      </c>
      <c r="AG41" t="s">
        <v>41</v>
      </c>
      <c r="AH41" t="s">
        <v>41</v>
      </c>
      <c r="AI41" t="s">
        <v>41</v>
      </c>
      <c r="AJ41" t="s">
        <v>41</v>
      </c>
      <c r="AK41" s="215" t="s">
        <v>41</v>
      </c>
      <c r="AL41">
        <v>2</v>
      </c>
      <c r="AM41">
        <v>2</v>
      </c>
      <c r="AN41" s="215">
        <v>1</v>
      </c>
      <c r="AO41" s="85" t="s">
        <v>41</v>
      </c>
      <c r="AP41" s="215" t="s">
        <v>45</v>
      </c>
      <c r="AQ41" s="6">
        <f t="shared" si="16"/>
        <v>3.1666666666666665</v>
      </c>
      <c r="AR41" s="9" t="str">
        <f t="shared" si="17"/>
        <v>Minors</v>
      </c>
      <c r="AS41" s="6">
        <f t="shared" si="18"/>
        <v>3.1666666666666665</v>
      </c>
      <c r="AT41" s="6" t="str">
        <f t="shared" si="19"/>
        <v>Minors</v>
      </c>
      <c r="AU41" s="9">
        <f t="shared" si="20"/>
        <v>3.1666666666666665</v>
      </c>
      <c r="AV41" s="9" t="str">
        <f t="shared" si="21"/>
        <v>Minors</v>
      </c>
      <c r="AW41" s="53">
        <f t="shared" si="22"/>
        <v>0</v>
      </c>
      <c r="AX41" s="214">
        <f t="shared" si="23"/>
        <v>0</v>
      </c>
      <c r="AY41" s="214">
        <f t="shared" si="24"/>
        <v>0</v>
      </c>
      <c r="AZ41" s="214">
        <f t="shared" si="25"/>
        <v>0</v>
      </c>
      <c r="BA41" s="214">
        <f t="shared" si="26"/>
        <v>0</v>
      </c>
      <c r="BB41" s="214">
        <f t="shared" si="27"/>
        <v>0</v>
      </c>
      <c r="BC41" s="214">
        <f t="shared" si="28"/>
        <v>0</v>
      </c>
      <c r="BD41" s="214">
        <f t="shared" si="29"/>
        <v>1</v>
      </c>
      <c r="BE41" s="215">
        <f t="shared" si="30"/>
        <v>1</v>
      </c>
      <c r="BF41" s="53">
        <f t="shared" si="31"/>
        <v>0</v>
      </c>
      <c r="BG41" s="214">
        <f t="shared" si="32"/>
        <v>0</v>
      </c>
      <c r="BH41" s="214">
        <f t="shared" si="33"/>
        <v>0</v>
      </c>
      <c r="BI41" s="214">
        <f t="shared" si="34"/>
        <v>0</v>
      </c>
      <c r="BJ41" s="214">
        <f t="shared" si="35"/>
        <v>0</v>
      </c>
      <c r="BK41" s="214">
        <f t="shared" si="36"/>
        <v>0</v>
      </c>
      <c r="BL41" s="214">
        <f t="shared" si="37"/>
        <v>0</v>
      </c>
      <c r="BM41" s="214">
        <f t="shared" si="38"/>
        <v>1</v>
      </c>
      <c r="BN41" s="215">
        <f t="shared" si="39"/>
        <v>1</v>
      </c>
      <c r="BO41" s="215">
        <f t="shared" si="40"/>
        <v>0</v>
      </c>
      <c r="BP41" s="7">
        <f t="shared" si="41"/>
        <v>2</v>
      </c>
      <c r="BQ41" t="str">
        <f t="shared" si="42"/>
        <v/>
      </c>
      <c r="BR41" s="91">
        <f>IF(Q41="-","-",VLOOKUP($G41,CTBat!$G$10:$AN$184,BR$9,FALSE)-Q41)</f>
        <v>0</v>
      </c>
      <c r="BS41" s="91">
        <f>IF(R41="-","-",VLOOKUP($G41,CTBat!$G$10:$AN$184,BS$9,FALSE)-R41)</f>
        <v>0</v>
      </c>
      <c r="BT41" s="91">
        <f>IF(S41="-","-",VLOOKUP($G41,CTBat!$G$10:$AN$184,BT$9,FALSE)-S41)</f>
        <v>0</v>
      </c>
      <c r="BU41" s="91">
        <f>IF(T41="-","-",VLOOKUP($G41,CTBat!$G$10:$AN$184,BU$9,FALSE)-T41)</f>
        <v>0</v>
      </c>
      <c r="BV41" s="91">
        <f>IF(U41="-","-",VLOOKUP($G41,CTBat!$G$10:$AN$184,BV$9,FALSE)-U41)</f>
        <v>0</v>
      </c>
      <c r="BW41" s="91">
        <f>IF(V41="-","-",VLOOKUP($G41,CTBat!$G$10:$AN$184,BW$9,FALSE)-V41)</f>
        <v>0</v>
      </c>
      <c r="BX41" s="91">
        <f>IF(W41="-","-",VLOOKUP($G41,CTBat!$G$10:$AN$184,BX$9,FALSE)-W41)</f>
        <v>0</v>
      </c>
      <c r="BY41" s="91">
        <f>IF(X41="-","-",VLOOKUP($G41,CTBat!$G$10:$AN$184,BY$9,FALSE)-X41)</f>
        <v>0</v>
      </c>
      <c r="BZ41" s="91">
        <f>IF(Y41="-","-",VLOOKUP($G41,CTBat!$G$10:$AN$184,BZ$9,FALSE)-Y41)</f>
        <v>0</v>
      </c>
      <c r="CA41" s="91">
        <f>IF(Z41="-","-",VLOOKUP($G41,CTBat!$G$10:$AN$184,CA$9,FALSE)-Z41)</f>
        <v>0</v>
      </c>
      <c r="CB41" s="91">
        <f>IF(AA41="-","-",VLOOKUP($G41,CTBat!$G$10:$AN$184,CB$9,FALSE)-AA41)</f>
        <v>0</v>
      </c>
      <c r="CC41" s="91">
        <f>IF(AB41="-","-",VLOOKUP($G41,CTBat!$G$10:$AN$184,CC$9,FALSE)-AB41)</f>
        <v>0</v>
      </c>
      <c r="CD41" s="91">
        <f>IF(AC41="-","-",VLOOKUP($G41,CTBat!$G$10:$AN$184,CD$9,FALSE)-AC41)</f>
        <v>0</v>
      </c>
      <c r="CE41" s="91">
        <f>IF(AD41="-","-",VLOOKUP($G41,CTBat!$G$10:$AN$184,CE$9,FALSE)-AD41)</f>
        <v>1</v>
      </c>
      <c r="CF41" s="91" t="str">
        <f>IF(AE41="-","-",VLOOKUP($G41,CTBat!$G$10:$AN$184,CF$9,FALSE)-AE41)</f>
        <v>-</v>
      </c>
      <c r="CG41" s="91" t="str">
        <f>IF(AF41="-","-",VLOOKUP($G41,CTBat!$G$10:$AN$184,CG$9,FALSE)-AF41)</f>
        <v>-</v>
      </c>
      <c r="CH41" s="91" t="str">
        <f>IF(AG41="-","-",VLOOKUP($G41,CTBat!$G$10:$AN$184,CH$9,FALSE)-AG41)</f>
        <v>-</v>
      </c>
      <c r="CI41" s="91" t="str">
        <f>IF(AH41="-","-",VLOOKUP($G41,CTBat!$G$10:$AN$184,CI$9,FALSE)-AH41)</f>
        <v>-</v>
      </c>
      <c r="CJ41" s="91" t="str">
        <f>IF(AI41="-","-",VLOOKUP($G41,CTBat!$G$10:$AN$184,CJ$9,FALSE)-AI41)</f>
        <v>-</v>
      </c>
      <c r="CK41" s="91" t="str">
        <f>IF(AJ41="-","-",VLOOKUP($G41,CTBat!$G$10:$AN$184,CK$9,FALSE)-AJ41)</f>
        <v>-</v>
      </c>
      <c r="CL41" s="91" t="str">
        <f>IF(AK41="-","-",VLOOKUP($G41,CTBat!$G$10:$AN$184,CL$9,FALSE)-AK41)</f>
        <v>-</v>
      </c>
      <c r="CM41" s="91">
        <f>IF(AL41="-","-",VLOOKUP($G41,CTBat!$G$10:$AN$184,CM$9,FALSE)-AL41)</f>
        <v>0</v>
      </c>
      <c r="CN41" s="91">
        <f>IF(AM41="-","-",VLOOKUP($G41,CTBat!$G$10:$AN$184,CN$9,FALSE)-AM41)</f>
        <v>0</v>
      </c>
      <c r="CO41" s="91">
        <f>IF(AN41="-","-",VLOOKUP($G41,CTBat!$G$10:$AN$184,CO$9,FALSE)-AN41)</f>
        <v>0</v>
      </c>
      <c r="CP41" s="91">
        <f t="shared" si="43"/>
        <v>0</v>
      </c>
      <c r="CQ41" s="91">
        <f t="shared" si="44"/>
        <v>0</v>
      </c>
      <c r="CR41" s="91">
        <f t="shared" si="45"/>
        <v>1</v>
      </c>
      <c r="CS41" s="91">
        <f t="shared" si="46"/>
        <v>0</v>
      </c>
      <c r="CT41" s="91">
        <f t="shared" si="47"/>
        <v>1</v>
      </c>
    </row>
    <row r="42" spans="1:98">
      <c r="A42" s="91"/>
      <c r="B42" s="91"/>
      <c r="C42">
        <f t="shared" si="13"/>
        <v>2</v>
      </c>
      <c r="D42">
        <f t="shared" si="14"/>
        <v>2</v>
      </c>
      <c r="E42" t="str">
        <f t="shared" si="15"/>
        <v>K</v>
      </c>
      <c r="F42" t="s">
        <v>95</v>
      </c>
      <c r="G42" t="s">
        <v>51</v>
      </c>
      <c r="H42" t="s">
        <v>25</v>
      </c>
      <c r="I42" t="s">
        <v>207</v>
      </c>
      <c r="J42">
        <v>28</v>
      </c>
      <c r="K42" t="s">
        <v>104</v>
      </c>
      <c r="L42" t="s">
        <v>104</v>
      </c>
      <c r="M42" t="s">
        <v>42</v>
      </c>
      <c r="N42" s="269" t="s">
        <v>42</v>
      </c>
      <c r="O42" t="s">
        <v>224</v>
      </c>
      <c r="P42" s="269" t="s">
        <v>225</v>
      </c>
      <c r="Q42">
        <v>7</v>
      </c>
      <c r="R42">
        <v>6</v>
      </c>
      <c r="S42">
        <v>5</v>
      </c>
      <c r="T42">
        <v>7</v>
      </c>
      <c r="U42" s="269">
        <v>8</v>
      </c>
      <c r="V42">
        <v>7</v>
      </c>
      <c r="W42">
        <v>6</v>
      </c>
      <c r="X42">
        <v>5</v>
      </c>
      <c r="Y42">
        <v>7</v>
      </c>
      <c r="Z42" s="269">
        <v>8</v>
      </c>
      <c r="AA42">
        <v>5</v>
      </c>
      <c r="AB42">
        <v>3</v>
      </c>
      <c r="AC42">
        <v>1</v>
      </c>
      <c r="AD42" t="s">
        <v>41</v>
      </c>
      <c r="AE42">
        <v>8</v>
      </c>
      <c r="AF42">
        <v>7</v>
      </c>
      <c r="AG42">
        <v>4</v>
      </c>
      <c r="AH42">
        <v>2</v>
      </c>
      <c r="AI42" t="s">
        <v>41</v>
      </c>
      <c r="AJ42" t="s">
        <v>41</v>
      </c>
      <c r="AK42" s="269" t="s">
        <v>41</v>
      </c>
      <c r="AL42">
        <v>3</v>
      </c>
      <c r="AM42">
        <v>4</v>
      </c>
      <c r="AN42" s="269">
        <v>3</v>
      </c>
      <c r="AO42" s="85">
        <v>490000</v>
      </c>
      <c r="AP42" s="269" t="s">
        <v>45</v>
      </c>
      <c r="AQ42" s="6">
        <f t="shared" si="16"/>
        <v>6.833333333333333</v>
      </c>
      <c r="AR42" s="9" t="str">
        <f t="shared" si="17"/>
        <v>GoodReg</v>
      </c>
      <c r="AS42" s="6">
        <f t="shared" si="18"/>
        <v>6.833333333333333</v>
      </c>
      <c r="AT42" s="6" t="str">
        <f t="shared" si="19"/>
        <v>GoodReg</v>
      </c>
      <c r="AU42" s="9">
        <f t="shared" si="20"/>
        <v>6.833333333333333</v>
      </c>
      <c r="AV42" s="9" t="str">
        <f t="shared" si="21"/>
        <v>GoodReg</v>
      </c>
      <c r="AW42" s="53">
        <f t="shared" si="22"/>
        <v>0</v>
      </c>
      <c r="AX42" s="268">
        <f t="shared" si="23"/>
        <v>1</v>
      </c>
      <c r="AY42" s="268">
        <f t="shared" si="24"/>
        <v>0</v>
      </c>
      <c r="AZ42" s="268">
        <f t="shared" si="25"/>
        <v>0</v>
      </c>
      <c r="BA42" s="268">
        <f t="shared" si="26"/>
        <v>0</v>
      </c>
      <c r="BB42" s="268">
        <f t="shared" si="27"/>
        <v>1</v>
      </c>
      <c r="BC42" s="268">
        <f t="shared" si="28"/>
        <v>1</v>
      </c>
      <c r="BD42" s="268">
        <f t="shared" si="29"/>
        <v>1</v>
      </c>
      <c r="BE42" s="269">
        <f t="shared" si="30"/>
        <v>1</v>
      </c>
      <c r="BF42" s="53">
        <f t="shared" si="31"/>
        <v>0</v>
      </c>
      <c r="BG42" s="268">
        <f t="shared" si="32"/>
        <v>1</v>
      </c>
      <c r="BH42" s="268">
        <f t="shared" si="33"/>
        <v>0</v>
      </c>
      <c r="BI42" s="268">
        <f t="shared" si="34"/>
        <v>0</v>
      </c>
      <c r="BJ42" s="268">
        <f t="shared" si="35"/>
        <v>0</v>
      </c>
      <c r="BK42" s="268">
        <f t="shared" si="36"/>
        <v>1</v>
      </c>
      <c r="BL42" s="268">
        <f t="shared" si="37"/>
        <v>1</v>
      </c>
      <c r="BM42" s="268">
        <f t="shared" si="38"/>
        <v>1</v>
      </c>
      <c r="BN42" s="269">
        <f t="shared" si="39"/>
        <v>1</v>
      </c>
      <c r="BO42" s="269">
        <f t="shared" si="40"/>
        <v>0</v>
      </c>
      <c r="BP42" s="7">
        <f t="shared" si="41"/>
        <v>2</v>
      </c>
      <c r="BQ42" t="str">
        <f t="shared" si="42"/>
        <v/>
      </c>
      <c r="BR42" s="91">
        <f>IF(Q42="-","-",VLOOKUP($G42,CTBat!$G$10:$AN$184,BR$9,FALSE)-Q42)</f>
        <v>0</v>
      </c>
      <c r="BS42" s="91">
        <f>IF(R42="-","-",VLOOKUP($G42,CTBat!$G$10:$AN$184,BS$9,FALSE)-R42)</f>
        <v>0</v>
      </c>
      <c r="BT42" s="91">
        <f>IF(S42="-","-",VLOOKUP($G42,CTBat!$G$10:$AN$184,BT$9,FALSE)-S42)</f>
        <v>0</v>
      </c>
      <c r="BU42" s="91">
        <f>IF(T42="-","-",VLOOKUP($G42,CTBat!$G$10:$AN$184,BU$9,FALSE)-T42)</f>
        <v>0</v>
      </c>
      <c r="BV42" s="91">
        <f>IF(U42="-","-",VLOOKUP($G42,CTBat!$G$10:$AN$184,BV$9,FALSE)-U42)</f>
        <v>0</v>
      </c>
      <c r="BW42" s="91">
        <f>IF(V42="-","-",VLOOKUP($G42,CTBat!$G$10:$AN$184,BW$9,FALSE)-V42)</f>
        <v>0</v>
      </c>
      <c r="BX42" s="91">
        <f>IF(W42="-","-",VLOOKUP($G42,CTBat!$G$10:$AN$184,BX$9,FALSE)-W42)</f>
        <v>0</v>
      </c>
      <c r="BY42" s="91">
        <f>IF(X42="-","-",VLOOKUP($G42,CTBat!$G$10:$AN$184,BY$9,FALSE)-X42)</f>
        <v>0</v>
      </c>
      <c r="BZ42" s="91">
        <f>IF(Y42="-","-",VLOOKUP($G42,CTBat!$G$10:$AN$184,BZ$9,FALSE)-Y42)</f>
        <v>0</v>
      </c>
      <c r="CA42" s="91">
        <f>IF(Z42="-","-",VLOOKUP($G42,CTBat!$G$10:$AN$184,CA$9,FALSE)-Z42)</f>
        <v>0</v>
      </c>
      <c r="CB42" s="91">
        <f>IF(AA42="-","-",VLOOKUP($G42,CTBat!$G$10:$AN$184,CB$9,FALSE)-AA42)</f>
        <v>0</v>
      </c>
      <c r="CC42" s="91">
        <f>IF(AB42="-","-",VLOOKUP($G42,CTBat!$G$10:$AN$184,CC$9,FALSE)-AB42)</f>
        <v>0</v>
      </c>
      <c r="CD42" s="91">
        <f>IF(AC42="-","-",VLOOKUP($G42,CTBat!$G$10:$AN$184,CD$9,FALSE)-AC42)</f>
        <v>0</v>
      </c>
      <c r="CE42" s="91" t="str">
        <f>IF(AD42="-","-",VLOOKUP($G42,CTBat!$G$10:$AN$184,CE$9,FALSE)-AD42)</f>
        <v>-</v>
      </c>
      <c r="CF42" s="91">
        <f>IF(AE42="-","-",VLOOKUP($G42,CTBat!$G$10:$AN$184,CF$9,FALSE)-AE42)</f>
        <v>0</v>
      </c>
      <c r="CG42" s="91">
        <f>IF(AF42="-","-",VLOOKUP($G42,CTBat!$G$10:$AN$184,CG$9,FALSE)-AF42)</f>
        <v>0</v>
      </c>
      <c r="CH42" s="91">
        <f>IF(AG42="-","-",VLOOKUP($G42,CTBat!$G$10:$AN$184,CH$9,FALSE)-AG42)</f>
        <v>0</v>
      </c>
      <c r="CI42" s="91">
        <f>IF(AH42="-","-",VLOOKUP($G42,CTBat!$G$10:$AN$184,CI$9,FALSE)-AH42)</f>
        <v>0</v>
      </c>
      <c r="CJ42" s="91" t="str">
        <f>IF(AI42="-","-",VLOOKUP($G42,CTBat!$G$10:$AN$184,CJ$9,FALSE)-AI42)</f>
        <v>-</v>
      </c>
      <c r="CK42" s="91" t="str">
        <f>IF(AJ42="-","-",VLOOKUP($G42,CTBat!$G$10:$AN$184,CK$9,FALSE)-AJ42)</f>
        <v>-</v>
      </c>
      <c r="CL42" s="91" t="str">
        <f>IF(AK42="-","-",VLOOKUP($G42,CTBat!$G$10:$AN$184,CL$9,FALSE)-AK42)</f>
        <v>-</v>
      </c>
      <c r="CM42" s="91">
        <f>IF(AL42="-","-",VLOOKUP($G42,CTBat!$G$10:$AN$184,CM$9,FALSE)-AL42)</f>
        <v>0</v>
      </c>
      <c r="CN42" s="91">
        <f>IF(AM42="-","-",VLOOKUP($G42,CTBat!$G$10:$AN$184,CN$9,FALSE)-AM42)</f>
        <v>0</v>
      </c>
      <c r="CO42" s="91">
        <f>IF(AN42="-","-",VLOOKUP($G42,CTBat!$G$10:$AN$184,CO$9,FALSE)-AN42)</f>
        <v>0</v>
      </c>
      <c r="CP42" s="91">
        <f t="shared" si="43"/>
        <v>0</v>
      </c>
      <c r="CQ42" s="91">
        <f t="shared" si="44"/>
        <v>0</v>
      </c>
      <c r="CR42" s="91">
        <f t="shared" si="45"/>
        <v>0</v>
      </c>
      <c r="CS42" s="91">
        <f t="shared" si="46"/>
        <v>0</v>
      </c>
      <c r="CT42" s="91">
        <f t="shared" si="47"/>
        <v>0</v>
      </c>
    </row>
    <row r="43" spans="1:98">
      <c r="C43">
        <f t="shared" ref="C43:C65" si="48">IF(BH43=1,3,IF(BI43=1,4,IF(BF43=1,1,IF(BJ43=1,5,IF(BG43=1,2,IF(BK43=1,6,IF(BL43=1,7,IF(BM43=1,8,IF(BN43=1,9,"-")))))))))</f>
        <v>2</v>
      </c>
      <c r="D43">
        <f t="shared" ref="D43:D65" si="49">IF(AY43=1,3,IF(AZ43=1,4,IF(AW43=1,1,IF(BA43=1,5,IF(AX43=1,2,IF(BB43=1,6,IF(BC43=1,7,IF(BD43=1,8,IF(BE43=1,9,"-")))))))))</f>
        <v>2</v>
      </c>
      <c r="E43" t="str">
        <f t="shared" ref="E43:E65" si="50">IF(OR(O43&gt;7,AND(O43&gt;4,P43&gt;5)),"K","T")</f>
        <v>K</v>
      </c>
      <c r="F43" t="s">
        <v>100</v>
      </c>
      <c r="G43" t="s">
        <v>442</v>
      </c>
      <c r="H43" t="s">
        <v>25</v>
      </c>
      <c r="I43" t="s">
        <v>207</v>
      </c>
      <c r="J43">
        <v>24</v>
      </c>
      <c r="K43" t="s">
        <v>104</v>
      </c>
      <c r="L43" t="s">
        <v>103</v>
      </c>
      <c r="M43" t="s">
        <v>47</v>
      </c>
      <c r="N43" s="3" t="s">
        <v>42</v>
      </c>
      <c r="O43" t="s">
        <v>225</v>
      </c>
      <c r="P43" s="3" t="s">
        <v>224</v>
      </c>
      <c r="Q43">
        <v>7</v>
      </c>
      <c r="R43">
        <v>6</v>
      </c>
      <c r="S43">
        <v>6</v>
      </c>
      <c r="T43">
        <v>6</v>
      </c>
      <c r="U43" s="3">
        <v>8</v>
      </c>
      <c r="V43">
        <v>7</v>
      </c>
      <c r="W43">
        <v>7</v>
      </c>
      <c r="X43">
        <v>6</v>
      </c>
      <c r="Y43">
        <v>6</v>
      </c>
      <c r="Z43" s="3">
        <v>8</v>
      </c>
      <c r="AA43">
        <v>1</v>
      </c>
      <c r="AB43">
        <v>5</v>
      </c>
      <c r="AC43">
        <v>1</v>
      </c>
      <c r="AD43" t="s">
        <v>41</v>
      </c>
      <c r="AE43" t="s">
        <v>41</v>
      </c>
      <c r="AF43" t="s">
        <v>41</v>
      </c>
      <c r="AG43" t="s">
        <v>41</v>
      </c>
      <c r="AH43" t="s">
        <v>41</v>
      </c>
      <c r="AI43">
        <v>2</v>
      </c>
      <c r="AJ43">
        <v>2</v>
      </c>
      <c r="AK43" s="3">
        <v>6</v>
      </c>
      <c r="AL43">
        <v>3</v>
      </c>
      <c r="AM43">
        <v>5</v>
      </c>
      <c r="AN43" s="3">
        <v>6</v>
      </c>
      <c r="AO43" s="85">
        <v>490000</v>
      </c>
      <c r="AP43" s="3" t="s">
        <v>45</v>
      </c>
      <c r="AQ43" s="6">
        <f t="shared" ref="AQ43:AQ65" si="51">AVERAGE(Q43,S43,T43)+IF(OR(Q43&gt;7,AND(Q43&gt;5,T43&gt;5)),0.5,0)+IF(S43&gt;7,0.25,0)+IF(Q43&lt;6,-0.5*(6-Q43),0)</f>
        <v>6.833333333333333</v>
      </c>
      <c r="AR43" s="9" t="str">
        <f t="shared" ref="AR43:AR65" si="52">IF(AQ43&gt;9,"SuperStar",IF(AQ43&gt;8,"Star",IF(AQ43&gt;6.5,"GoodReg",IF(AQ43&gt;5,"Reg",IF(AQ43&gt;4,"Bench","Minors")))))</f>
        <v>GoodReg</v>
      </c>
      <c r="AS43" s="6">
        <f t="shared" ref="AS43:AS65" si="53">AVERAGE(V43,X43,Y43)+IF(OR(V43&gt;7,AND(V43&gt;5,Y43&gt;5)),0.5,0)+IF(X43&gt;7,0.25,0)+IF(V43&lt;6,-0.5*(6-V43),0)</f>
        <v>6.833333333333333</v>
      </c>
      <c r="AT43" s="6" t="str">
        <f t="shared" ref="AT43:AT65" si="54">IF(AS43&gt;9,"SuperStar",IF(AS43&gt;8,"Star",IF(AS43&gt;6.5,"GoodReg",IF(AS43&gt;5,"Reg",IF(AS43&gt;4,"Bench","Minors")))))</f>
        <v>GoodReg</v>
      </c>
      <c r="AU43" s="9">
        <f t="shared" ref="AU43:AU65" si="55">MIN(AQ43+(MAX(0,25-J43))^1.5,AS43)</f>
        <v>6.833333333333333</v>
      </c>
      <c r="AV43" s="9" t="str">
        <f t="shared" ref="AV43:AV65" si="56">IF(AU43&gt;9,"SuperStar",IF(AU43&gt;8,"Star",IF(AU43&gt;6.5,"GoodReg",IF(AU43&gt;5,"Reg",IF(AU43&gt;4,"Bench","Minors")))))</f>
        <v>GoodReg</v>
      </c>
      <c r="AW43" s="53">
        <f t="shared" ref="AW43:AW65" si="57">IF(AND(OR(Q43+T43&gt;12,AND(Q43&gt;6,T43&gt;6)),AL43&gt;6,OR(AM43&gt;=AL43,AM43&gt;6)),1,0)</f>
        <v>0</v>
      </c>
      <c r="AX43" s="5">
        <f t="shared" ref="AX43:AX65" si="58">IF(OR(AND(Q43&gt;6,U43&gt;6),Q43+T43&gt;12),1,0)</f>
        <v>1</v>
      </c>
      <c r="AY43" s="5">
        <f t="shared" ref="AY43:AY65" si="59">IF(AND(Q43&gt;6,S43&gt;6,T43&gt;6),1,0)</f>
        <v>0</v>
      </c>
      <c r="AZ43" s="5">
        <f t="shared" ref="AZ43:AZ65" si="60">IF(AND(S43&gt;7,OR(Q43&gt;6,T43&gt;6)),1,0)</f>
        <v>0</v>
      </c>
      <c r="BA43" s="5">
        <f t="shared" ref="BA43:BA65" si="61">IF(AND(S43&gt;6,OR(Q43&gt;6,T43&gt;6)),1,0)</f>
        <v>0</v>
      </c>
      <c r="BB43" s="5">
        <f t="shared" ref="BB43:BB65" si="62">IF(AND(OR(Q43&gt;6,S43&gt;6),OR(Q43&gt;6,T43&gt;6)),1,0)</f>
        <v>1</v>
      </c>
      <c r="BC43" s="5">
        <f t="shared" ref="BC43:BC65" si="63">IF(AND(Q43&gt;4,OR(Q43&gt;6,S43&gt;6,T43&gt;6)),1,0)</f>
        <v>1</v>
      </c>
      <c r="BD43" s="5">
        <f t="shared" ref="BD43:BD65" si="64">IF(AND(Q43&gt;4,OR(Q43&gt;6,R43&gt;6,S43&gt;6,T43&gt;6)),1,0)</f>
        <v>1</v>
      </c>
      <c r="BE43" s="3">
        <f t="shared" ref="BE43:BE65" si="65">IF(AND(Q43&gt;4,MAX(Q43:U43)&gt;6),1,0)</f>
        <v>1</v>
      </c>
      <c r="BF43" s="53">
        <f t="shared" ref="BF43:BF65" si="66">IF(AND(OR(V43+Y43&gt;12,AND(V43&gt;6,Y43&gt;6)),AL43&gt;6,OR(AM43&gt;=AL43,AM43&gt;6)),1,0)</f>
        <v>0</v>
      </c>
      <c r="BG43" s="5">
        <f t="shared" ref="BG43:BG65" si="67">IF(OR(AND(V43&gt;6,Z43&gt;6),V43+Y43&gt;12),1,0)</f>
        <v>1</v>
      </c>
      <c r="BH43" s="5">
        <f t="shared" ref="BH43:BH65" si="68">IF(AND(V43&gt;6,X43&gt;6,Y43&gt;6),1,0)</f>
        <v>0</v>
      </c>
      <c r="BI43" s="5">
        <f t="shared" ref="BI43:BI65" si="69">IF(AND(X43&gt;7,OR(V43&gt;6,Y43&gt;6)),1,0)</f>
        <v>0</v>
      </c>
      <c r="BJ43" s="5">
        <f t="shared" ref="BJ43:BJ65" si="70">IF(AND(X43&gt;6,OR(V43&gt;6,Y43&gt;6)),1,0)</f>
        <v>0</v>
      </c>
      <c r="BK43" s="5">
        <f t="shared" ref="BK43:BK65" si="71">IF(AND(OR(V43&gt;6,X43&gt;6),OR(V43&gt;6,Y43&gt;6)),1,0)</f>
        <v>1</v>
      </c>
      <c r="BL43" s="5">
        <f t="shared" ref="BL43:BL65" si="72">IF(AND(V43&gt;4,OR(V43&gt;6,X43&gt;6,Y43&gt;6)),1,0)</f>
        <v>1</v>
      </c>
      <c r="BM43" s="5">
        <f t="shared" ref="BM43:BM65" si="73">IF(AND(V43&gt;4,OR(V43&gt;6,W43&gt;6,X43&gt;6,Y43&gt;6)),1,0)</f>
        <v>1</v>
      </c>
      <c r="BN43" s="3">
        <f t="shared" ref="BN43:BN65" si="74">IF(AND(V43&gt;4,MAX(V43:Z43)&gt;6),1,0)</f>
        <v>1</v>
      </c>
      <c r="BO43" s="3">
        <f t="shared" ref="BO43:BO65" si="75">IF(AVERAGE(AL43:AM43)&gt;9,1,0)+IF(AVERAGE(AL43:AM43)&gt;7,1,0)+IF(AL43&gt;7,1,0)+IF(AM43&gt;7,1,0)+IF(AN43&gt;8,1,0)+IF(AN43&gt;6,1,0)</f>
        <v>0</v>
      </c>
      <c r="BP43" s="7">
        <f t="shared" ref="BP43:BP65" si="76">IF(OR(MAX(AD43,AE43,AI43,AK43)&gt;6,MAX(AF43,AG43,AH43,AJ43)&gt;7),2,IF(MAX(AD43:AK43)&gt;4,1,0))</f>
        <v>1</v>
      </c>
      <c r="BQ43" t="str">
        <f t="shared" ref="BQ43:BQ65" si="77">IF(AP43=1,"Yes","")</f>
        <v/>
      </c>
      <c r="BR43" s="91">
        <f>IF(Q43="-","-",VLOOKUP($G43,CTBat!$G$10:$AN$184,BR$9,FALSE)-Q43)</f>
        <v>0</v>
      </c>
      <c r="BS43" s="91">
        <f>IF(R43="-","-",VLOOKUP($G43,CTBat!$G$10:$AN$184,BS$9,FALSE)-R43)</f>
        <v>0</v>
      </c>
      <c r="BT43" s="91">
        <f>IF(S43="-","-",VLOOKUP($G43,CTBat!$G$10:$AN$184,BT$9,FALSE)-S43)</f>
        <v>0</v>
      </c>
      <c r="BU43" s="91">
        <f>IF(T43="-","-",VLOOKUP($G43,CTBat!$G$10:$AN$184,BU$9,FALSE)-T43)</f>
        <v>0</v>
      </c>
      <c r="BV43" s="91">
        <f>IF(U43="-","-",VLOOKUP($G43,CTBat!$G$10:$AN$184,BV$9,FALSE)-U43)</f>
        <v>0</v>
      </c>
      <c r="BW43" s="91">
        <f>IF(V43="-","-",VLOOKUP($G43,CTBat!$G$10:$AN$184,BW$9,FALSE)-V43)</f>
        <v>0</v>
      </c>
      <c r="BX43" s="91">
        <f>IF(W43="-","-",VLOOKUP($G43,CTBat!$G$10:$AN$184,BX$9,FALSE)-W43)</f>
        <v>0</v>
      </c>
      <c r="BY43" s="91">
        <f>IF(X43="-","-",VLOOKUP($G43,CTBat!$G$10:$AN$184,BY$9,FALSE)-X43)</f>
        <v>0</v>
      </c>
      <c r="BZ43" s="91">
        <f>IF(Y43="-","-",VLOOKUP($G43,CTBat!$G$10:$AN$184,BZ$9,FALSE)-Y43)</f>
        <v>0</v>
      </c>
      <c r="CA43" s="91">
        <f>IF(Z43="-","-",VLOOKUP($G43,CTBat!$G$10:$AN$184,CA$9,FALSE)-Z43)</f>
        <v>0</v>
      </c>
      <c r="CB43" s="91">
        <f>IF(AA43="-","-",VLOOKUP($G43,CTBat!$G$10:$AN$184,CB$9,FALSE)-AA43)</f>
        <v>0</v>
      </c>
      <c r="CC43" s="91">
        <f>IF(AB43="-","-",VLOOKUP($G43,CTBat!$G$10:$AN$184,CC$9,FALSE)-AB43)</f>
        <v>0</v>
      </c>
      <c r="CD43" s="91">
        <f>IF(AC43="-","-",VLOOKUP($G43,CTBat!$G$10:$AN$184,CD$9,FALSE)-AC43)</f>
        <v>0</v>
      </c>
      <c r="CE43" s="91" t="str">
        <f>IF(AD43="-","-",VLOOKUP($G43,CTBat!$G$10:$AN$184,CE$9,FALSE)-AD43)</f>
        <v>-</v>
      </c>
      <c r="CF43" s="91" t="str">
        <f>IF(AE43="-","-",VLOOKUP($G43,CTBat!$G$10:$AN$184,CF$9,FALSE)-AE43)</f>
        <v>-</v>
      </c>
      <c r="CG43" s="91" t="str">
        <f>IF(AF43="-","-",VLOOKUP($G43,CTBat!$G$10:$AN$184,CG$9,FALSE)-AF43)</f>
        <v>-</v>
      </c>
      <c r="CH43" s="91" t="str">
        <f>IF(AG43="-","-",VLOOKUP($G43,CTBat!$G$10:$AN$184,CH$9,FALSE)-AG43)</f>
        <v>-</v>
      </c>
      <c r="CI43" s="91" t="str">
        <f>IF(AH43="-","-",VLOOKUP($G43,CTBat!$G$10:$AN$184,CI$9,FALSE)-AH43)</f>
        <v>-</v>
      </c>
      <c r="CJ43" s="91">
        <f>IF(AI43="-","-",VLOOKUP($G43,CTBat!$G$10:$AN$184,CJ$9,FALSE)-AI43)</f>
        <v>0</v>
      </c>
      <c r="CK43" s="91">
        <f>IF(AJ43="-","-",VLOOKUP($G43,CTBat!$G$10:$AN$184,CK$9,FALSE)-AJ43)</f>
        <v>0</v>
      </c>
      <c r="CL43" s="91">
        <f>IF(AK43="-","-",VLOOKUP($G43,CTBat!$G$10:$AN$184,CL$9,FALSE)-AK43)</f>
        <v>0</v>
      </c>
      <c r="CM43" s="91">
        <f>IF(AL43="-","-",VLOOKUP($G43,CTBat!$G$10:$AN$184,CM$9,FALSE)-AL43)</f>
        <v>0</v>
      </c>
      <c r="CN43" s="91">
        <f>IF(AM43="-","-",VLOOKUP($G43,CTBat!$G$10:$AN$184,CN$9,FALSE)-AM43)</f>
        <v>0</v>
      </c>
      <c r="CO43" s="91">
        <f>IF(AN43="-","-",VLOOKUP($G43,CTBat!$G$10:$AN$184,CO$9,FALSE)-AN43)</f>
        <v>0</v>
      </c>
      <c r="CP43" s="91">
        <f t="shared" ref="CP43:CP65" si="78">SUM(BR43:BV43)</f>
        <v>0</v>
      </c>
      <c r="CQ43" s="91">
        <f t="shared" ref="CQ43:CQ65" si="79">SUM(BW43:CA43)</f>
        <v>0</v>
      </c>
      <c r="CR43" s="91">
        <f t="shared" ref="CR43:CR65" si="80">SUM(CB43:CL43)</f>
        <v>0</v>
      </c>
      <c r="CS43" s="91">
        <f t="shared" ref="CS43:CS65" si="81">SUM(CM43:CO43)</f>
        <v>0</v>
      </c>
      <c r="CT43" s="91">
        <f t="shared" ref="CT43:CT65" si="82">SUM(CP43:CS43)</f>
        <v>0</v>
      </c>
    </row>
    <row r="44" spans="1:98">
      <c r="A44" s="91"/>
      <c r="B44" s="91"/>
      <c r="C44" s="91" t="str">
        <f t="shared" si="48"/>
        <v>-</v>
      </c>
      <c r="D44" s="91" t="str">
        <f t="shared" si="49"/>
        <v>-</v>
      </c>
      <c r="E44" s="91" t="str">
        <f t="shared" si="50"/>
        <v>K</v>
      </c>
      <c r="F44" s="91" t="s">
        <v>92</v>
      </c>
      <c r="G44" s="91" t="s">
        <v>470</v>
      </c>
      <c r="H44" s="91" t="s">
        <v>372</v>
      </c>
      <c r="I44" s="91" t="s">
        <v>209</v>
      </c>
      <c r="J44" s="91">
        <v>23</v>
      </c>
      <c r="K44" s="91" t="s">
        <v>104</v>
      </c>
      <c r="L44" s="91" t="s">
        <v>104</v>
      </c>
      <c r="M44" s="91" t="s">
        <v>47</v>
      </c>
      <c r="N44" s="328" t="s">
        <v>47</v>
      </c>
      <c r="O44" s="91" t="s">
        <v>227</v>
      </c>
      <c r="P44" s="328" t="s">
        <v>225</v>
      </c>
      <c r="Q44" s="91">
        <v>5</v>
      </c>
      <c r="R44" s="91">
        <v>3</v>
      </c>
      <c r="S44" s="91">
        <v>4</v>
      </c>
      <c r="T44" s="91">
        <v>4</v>
      </c>
      <c r="U44" s="328">
        <v>4</v>
      </c>
      <c r="V44" s="91">
        <v>5</v>
      </c>
      <c r="W44" s="91">
        <v>3</v>
      </c>
      <c r="X44" s="91">
        <v>5</v>
      </c>
      <c r="Y44" s="91">
        <v>4</v>
      </c>
      <c r="Z44" s="328">
        <v>4</v>
      </c>
      <c r="AA44" s="91">
        <v>6</v>
      </c>
      <c r="AB44" s="91">
        <v>6</v>
      </c>
      <c r="AC44" s="91">
        <v>8</v>
      </c>
      <c r="AD44" s="91">
        <v>4</v>
      </c>
      <c r="AE44" s="91" t="s">
        <v>41</v>
      </c>
      <c r="AF44" s="91" t="s">
        <v>41</v>
      </c>
      <c r="AG44" s="91" t="s">
        <v>41</v>
      </c>
      <c r="AH44" s="91" t="s">
        <v>41</v>
      </c>
      <c r="AI44" s="91">
        <v>2</v>
      </c>
      <c r="AJ44" s="91" t="s">
        <v>41</v>
      </c>
      <c r="AK44" s="328" t="s">
        <v>41</v>
      </c>
      <c r="AL44" s="91">
        <v>2</v>
      </c>
      <c r="AM44" s="91">
        <v>3</v>
      </c>
      <c r="AN44" s="328">
        <v>1</v>
      </c>
      <c r="AO44" s="92" t="s">
        <v>41</v>
      </c>
      <c r="AP44" s="328" t="s">
        <v>45</v>
      </c>
      <c r="AQ44" s="93">
        <f t="shared" si="51"/>
        <v>3.833333333333333</v>
      </c>
      <c r="AR44" s="94" t="str">
        <f t="shared" si="52"/>
        <v>Minors</v>
      </c>
      <c r="AS44" s="93">
        <f t="shared" si="53"/>
        <v>4.166666666666667</v>
      </c>
      <c r="AT44" s="93" t="str">
        <f t="shared" si="54"/>
        <v>Bench</v>
      </c>
      <c r="AU44" s="94">
        <f t="shared" si="55"/>
        <v>4.166666666666667</v>
      </c>
      <c r="AV44" s="94" t="str">
        <f t="shared" si="56"/>
        <v>Bench</v>
      </c>
      <c r="AW44" s="326">
        <f t="shared" si="57"/>
        <v>0</v>
      </c>
      <c r="AX44" s="327">
        <f t="shared" si="58"/>
        <v>0</v>
      </c>
      <c r="AY44" s="327">
        <f t="shared" si="59"/>
        <v>0</v>
      </c>
      <c r="AZ44" s="327">
        <f t="shared" si="60"/>
        <v>0</v>
      </c>
      <c r="BA44" s="327">
        <f t="shared" si="61"/>
        <v>0</v>
      </c>
      <c r="BB44" s="327">
        <f t="shared" si="62"/>
        <v>0</v>
      </c>
      <c r="BC44" s="327">
        <f t="shared" si="63"/>
        <v>0</v>
      </c>
      <c r="BD44" s="327">
        <f t="shared" si="64"/>
        <v>0</v>
      </c>
      <c r="BE44" s="328">
        <f t="shared" si="65"/>
        <v>0</v>
      </c>
      <c r="BF44" s="326">
        <f t="shared" si="66"/>
        <v>0</v>
      </c>
      <c r="BG44" s="327">
        <f t="shared" si="67"/>
        <v>0</v>
      </c>
      <c r="BH44" s="327">
        <f t="shared" si="68"/>
        <v>0</v>
      </c>
      <c r="BI44" s="327">
        <f t="shared" si="69"/>
        <v>0</v>
      </c>
      <c r="BJ44" s="327">
        <f t="shared" si="70"/>
        <v>0</v>
      </c>
      <c r="BK44" s="327">
        <f t="shared" si="71"/>
        <v>0</v>
      </c>
      <c r="BL44" s="327">
        <f t="shared" si="72"/>
        <v>0</v>
      </c>
      <c r="BM44" s="327">
        <f t="shared" si="73"/>
        <v>0</v>
      </c>
      <c r="BN44" s="328">
        <f t="shared" si="74"/>
        <v>0</v>
      </c>
      <c r="BO44" s="328">
        <f t="shared" si="75"/>
        <v>0</v>
      </c>
      <c r="BP44" s="96">
        <f t="shared" si="76"/>
        <v>0</v>
      </c>
      <c r="BQ44" s="91" t="str">
        <f t="shared" si="77"/>
        <v/>
      </c>
      <c r="BR44" s="91">
        <f>IF(Q44="-","-",VLOOKUP($G44,CTBat!$G$10:$AN$184,BR$9,FALSE)-Q44)</f>
        <v>0</v>
      </c>
      <c r="BS44" s="91">
        <f>IF(R44="-","-",VLOOKUP($G44,CTBat!$G$10:$AN$184,BS$9,FALSE)-R44)</f>
        <v>0</v>
      </c>
      <c r="BT44" s="91">
        <f>IF(S44="-","-",VLOOKUP($G44,CTBat!$G$10:$AN$184,BT$9,FALSE)-S44)</f>
        <v>0</v>
      </c>
      <c r="BU44" s="91">
        <f>IF(T44="-","-",VLOOKUP($G44,CTBat!$G$10:$AN$184,BU$9,FALSE)-T44)</f>
        <v>0</v>
      </c>
      <c r="BV44" s="91">
        <f>IF(U44="-","-",VLOOKUP($G44,CTBat!$G$10:$AN$184,BV$9,FALSE)-U44)</f>
        <v>0</v>
      </c>
      <c r="BW44" s="91">
        <f>IF(V44="-","-",VLOOKUP($G44,CTBat!$G$10:$AN$184,BW$9,FALSE)-V44)</f>
        <v>0</v>
      </c>
      <c r="BX44" s="91">
        <f>IF(W44="-","-",VLOOKUP($G44,CTBat!$G$10:$AN$184,BX$9,FALSE)-W44)</f>
        <v>0</v>
      </c>
      <c r="BY44" s="91">
        <f>IF(X44="-","-",VLOOKUP($G44,CTBat!$G$10:$AN$184,BY$9,FALSE)-X44)</f>
        <v>0</v>
      </c>
      <c r="BZ44" s="91">
        <f>IF(Y44="-","-",VLOOKUP($G44,CTBat!$G$10:$AN$184,BZ$9,FALSE)-Y44)</f>
        <v>1</v>
      </c>
      <c r="CA44" s="91">
        <f>IF(Z44="-","-",VLOOKUP($G44,CTBat!$G$10:$AN$184,CA$9,FALSE)-Z44)</f>
        <v>0</v>
      </c>
      <c r="CB44" s="91">
        <f>IF(AA44="-","-",VLOOKUP($G44,CTBat!$G$10:$AN$184,CB$9,FALSE)-AA44)</f>
        <v>0</v>
      </c>
      <c r="CC44" s="91">
        <f>IF(AB44="-","-",VLOOKUP($G44,CTBat!$G$10:$AN$184,CC$9,FALSE)-AB44)</f>
        <v>0</v>
      </c>
      <c r="CD44" s="91">
        <f>IF(AC44="-","-",VLOOKUP($G44,CTBat!$G$10:$AN$184,CD$9,FALSE)-AC44)</f>
        <v>0</v>
      </c>
      <c r="CE44" s="91">
        <f>IF(AD44="-","-",VLOOKUP($G44,CTBat!$G$10:$AN$184,CE$9,FALSE)-AD44)</f>
        <v>0</v>
      </c>
      <c r="CF44" s="91" t="str">
        <f>IF(AE44="-","-",VLOOKUP($G44,CTBat!$G$10:$AN$184,CF$9,FALSE)-AE44)</f>
        <v>-</v>
      </c>
      <c r="CG44" s="91" t="str">
        <f>IF(AF44="-","-",VLOOKUP($G44,CTBat!$G$10:$AN$184,CG$9,FALSE)-AF44)</f>
        <v>-</v>
      </c>
      <c r="CH44" s="91" t="str">
        <f>IF(AG44="-","-",VLOOKUP($G44,CTBat!$G$10:$AN$184,CH$9,FALSE)-AG44)</f>
        <v>-</v>
      </c>
      <c r="CI44" s="91" t="str">
        <f>IF(AH44="-","-",VLOOKUP($G44,CTBat!$G$10:$AN$184,CI$9,FALSE)-AH44)</f>
        <v>-</v>
      </c>
      <c r="CJ44" s="91">
        <f>IF(AI44="-","-",VLOOKUP($G44,CTBat!$G$10:$AN$184,CJ$9,FALSE)-AI44)</f>
        <v>0</v>
      </c>
      <c r="CK44" s="91" t="str">
        <f>IF(AJ44="-","-",VLOOKUP($G44,CTBat!$G$10:$AN$184,CK$9,FALSE)-AJ44)</f>
        <v>-</v>
      </c>
      <c r="CL44" s="91" t="str">
        <f>IF(AK44="-","-",VLOOKUP($G44,CTBat!$G$10:$AN$184,CL$9,FALSE)-AK44)</f>
        <v>-</v>
      </c>
      <c r="CM44" s="91">
        <f>IF(AL44="-","-",VLOOKUP($G44,CTBat!$G$10:$AN$184,CM$9,FALSE)-AL44)</f>
        <v>0</v>
      </c>
      <c r="CN44" s="91">
        <f>IF(AM44="-","-",VLOOKUP($G44,CTBat!$G$10:$AN$184,CN$9,FALSE)-AM44)</f>
        <v>-1</v>
      </c>
      <c r="CO44" s="91">
        <f>IF(AN44="-","-",VLOOKUP($G44,CTBat!$G$10:$AN$184,CO$9,FALSE)-AN44)</f>
        <v>0</v>
      </c>
      <c r="CP44" s="91">
        <f t="shared" si="78"/>
        <v>0</v>
      </c>
      <c r="CQ44" s="91">
        <f t="shared" si="79"/>
        <v>1</v>
      </c>
      <c r="CR44" s="91">
        <f t="shared" si="80"/>
        <v>0</v>
      </c>
      <c r="CS44" s="91">
        <f t="shared" si="81"/>
        <v>-1</v>
      </c>
      <c r="CT44" s="91">
        <f t="shared" si="82"/>
        <v>0</v>
      </c>
    </row>
    <row r="45" spans="1:98">
      <c r="C45" t="str">
        <f t="shared" si="48"/>
        <v>-</v>
      </c>
      <c r="D45" t="str">
        <f t="shared" si="49"/>
        <v>-</v>
      </c>
      <c r="E45" t="str">
        <f t="shared" si="50"/>
        <v>K</v>
      </c>
      <c r="F45" t="s">
        <v>95</v>
      </c>
      <c r="G45" t="s">
        <v>471</v>
      </c>
      <c r="H45" t="s">
        <v>370</v>
      </c>
      <c r="I45" t="s">
        <v>316</v>
      </c>
      <c r="J45">
        <v>22</v>
      </c>
      <c r="K45" t="s">
        <v>104</v>
      </c>
      <c r="L45" t="s">
        <v>104</v>
      </c>
      <c r="M45" t="s">
        <v>47</v>
      </c>
      <c r="N45" s="266" t="s">
        <v>47</v>
      </c>
      <c r="O45" t="s">
        <v>224</v>
      </c>
      <c r="P45" s="266" t="s">
        <v>224</v>
      </c>
      <c r="Q45">
        <v>4</v>
      </c>
      <c r="R45">
        <v>6</v>
      </c>
      <c r="S45">
        <v>2</v>
      </c>
      <c r="T45">
        <v>3</v>
      </c>
      <c r="U45" s="266">
        <v>2</v>
      </c>
      <c r="V45">
        <v>5</v>
      </c>
      <c r="W45">
        <v>6</v>
      </c>
      <c r="X45">
        <v>4</v>
      </c>
      <c r="Y45">
        <v>4</v>
      </c>
      <c r="Z45" s="266">
        <v>4</v>
      </c>
      <c r="AA45">
        <v>3</v>
      </c>
      <c r="AB45">
        <v>1</v>
      </c>
      <c r="AC45">
        <v>1</v>
      </c>
      <c r="AD45" t="s">
        <v>41</v>
      </c>
      <c r="AE45" t="s">
        <v>41</v>
      </c>
      <c r="AF45">
        <v>4</v>
      </c>
      <c r="AG45" t="s">
        <v>41</v>
      </c>
      <c r="AH45" t="s">
        <v>41</v>
      </c>
      <c r="AI45" t="s">
        <v>41</v>
      </c>
      <c r="AJ45" t="s">
        <v>41</v>
      </c>
      <c r="AK45" s="266" t="s">
        <v>41</v>
      </c>
      <c r="AL45">
        <v>8</v>
      </c>
      <c r="AM45">
        <v>9</v>
      </c>
      <c r="AN45" s="266">
        <v>8</v>
      </c>
      <c r="AO45" s="85" t="s">
        <v>41</v>
      </c>
      <c r="AP45" s="266">
        <v>0</v>
      </c>
      <c r="AQ45" s="6">
        <f t="shared" si="51"/>
        <v>2</v>
      </c>
      <c r="AR45" s="9" t="str">
        <f t="shared" si="52"/>
        <v>Minors</v>
      </c>
      <c r="AS45" s="6">
        <f t="shared" si="53"/>
        <v>3.833333333333333</v>
      </c>
      <c r="AT45" s="6" t="str">
        <f t="shared" si="54"/>
        <v>Minors</v>
      </c>
      <c r="AU45" s="9">
        <f t="shared" si="55"/>
        <v>3.833333333333333</v>
      </c>
      <c r="AV45" s="9" t="str">
        <f t="shared" si="56"/>
        <v>Minors</v>
      </c>
      <c r="AW45" s="53">
        <f t="shared" si="57"/>
        <v>0</v>
      </c>
      <c r="AX45" s="265">
        <f t="shared" si="58"/>
        <v>0</v>
      </c>
      <c r="AY45" s="265">
        <f t="shared" si="59"/>
        <v>0</v>
      </c>
      <c r="AZ45" s="265">
        <f t="shared" si="60"/>
        <v>0</v>
      </c>
      <c r="BA45" s="265">
        <f t="shared" si="61"/>
        <v>0</v>
      </c>
      <c r="BB45" s="265">
        <f t="shared" si="62"/>
        <v>0</v>
      </c>
      <c r="BC45" s="265">
        <f t="shared" si="63"/>
        <v>0</v>
      </c>
      <c r="BD45" s="265">
        <f t="shared" si="64"/>
        <v>0</v>
      </c>
      <c r="BE45" s="266">
        <f t="shared" si="65"/>
        <v>0</v>
      </c>
      <c r="BF45" s="53">
        <f t="shared" si="66"/>
        <v>0</v>
      </c>
      <c r="BG45" s="265">
        <f t="shared" si="67"/>
        <v>0</v>
      </c>
      <c r="BH45" s="265">
        <f t="shared" si="68"/>
        <v>0</v>
      </c>
      <c r="BI45" s="265">
        <f t="shared" si="69"/>
        <v>0</v>
      </c>
      <c r="BJ45" s="265">
        <f t="shared" si="70"/>
        <v>0</v>
      </c>
      <c r="BK45" s="265">
        <f t="shared" si="71"/>
        <v>0</v>
      </c>
      <c r="BL45" s="265">
        <f t="shared" si="72"/>
        <v>0</v>
      </c>
      <c r="BM45" s="265">
        <f t="shared" si="73"/>
        <v>0</v>
      </c>
      <c r="BN45" s="266">
        <f t="shared" si="74"/>
        <v>0</v>
      </c>
      <c r="BO45" s="266">
        <f t="shared" si="75"/>
        <v>4</v>
      </c>
      <c r="BP45" s="7">
        <f t="shared" si="76"/>
        <v>0</v>
      </c>
      <c r="BQ45" t="str">
        <f t="shared" si="77"/>
        <v/>
      </c>
      <c r="BR45" s="91">
        <f>IF(Q45="-","-",VLOOKUP($G45,CTBat!$G$10:$AN$184,BR$9,FALSE)-Q45)</f>
        <v>0</v>
      </c>
      <c r="BS45" s="91">
        <f>IF(R45="-","-",VLOOKUP($G45,CTBat!$G$10:$AN$184,BS$9,FALSE)-R45)</f>
        <v>0</v>
      </c>
      <c r="BT45" s="91">
        <f>IF(S45="-","-",VLOOKUP($G45,CTBat!$G$10:$AN$184,BT$9,FALSE)-S45)</f>
        <v>0</v>
      </c>
      <c r="BU45" s="91">
        <f>IF(T45="-","-",VLOOKUP($G45,CTBat!$G$10:$AN$184,BU$9,FALSE)-T45)</f>
        <v>0</v>
      </c>
      <c r="BV45" s="91">
        <f>IF(U45="-","-",VLOOKUP($G45,CTBat!$G$10:$AN$184,BV$9,FALSE)-U45)</f>
        <v>0</v>
      </c>
      <c r="BW45" s="91">
        <f>IF(V45="-","-",VLOOKUP($G45,CTBat!$G$10:$AN$184,BW$9,FALSE)-V45)</f>
        <v>0</v>
      </c>
      <c r="BX45" s="91">
        <f>IF(W45="-","-",VLOOKUP($G45,CTBat!$G$10:$AN$184,BX$9,FALSE)-W45)</f>
        <v>0</v>
      </c>
      <c r="BY45" s="91">
        <f>IF(X45="-","-",VLOOKUP($G45,CTBat!$G$10:$AN$184,BY$9,FALSE)-X45)</f>
        <v>-1</v>
      </c>
      <c r="BZ45" s="91">
        <f>IF(Y45="-","-",VLOOKUP($G45,CTBat!$G$10:$AN$184,BZ$9,FALSE)-Y45)</f>
        <v>0</v>
      </c>
      <c r="CA45" s="91">
        <f>IF(Z45="-","-",VLOOKUP($G45,CTBat!$G$10:$AN$184,CA$9,FALSE)-Z45)</f>
        <v>-1</v>
      </c>
      <c r="CB45" s="91">
        <f>IF(AA45="-","-",VLOOKUP($G45,CTBat!$G$10:$AN$184,CB$9,FALSE)-AA45)</f>
        <v>0</v>
      </c>
      <c r="CC45" s="91">
        <f>IF(AB45="-","-",VLOOKUP($G45,CTBat!$G$10:$AN$184,CC$9,FALSE)-AB45)</f>
        <v>0</v>
      </c>
      <c r="CD45" s="91">
        <f>IF(AC45="-","-",VLOOKUP($G45,CTBat!$G$10:$AN$184,CD$9,FALSE)-AC45)</f>
        <v>0</v>
      </c>
      <c r="CE45" s="91" t="str">
        <f>IF(AD45="-","-",VLOOKUP($G45,CTBat!$G$10:$AN$184,CE$9,FALSE)-AD45)</f>
        <v>-</v>
      </c>
      <c r="CF45" s="91" t="str">
        <f>IF(AE45="-","-",VLOOKUP($G45,CTBat!$G$10:$AN$184,CF$9,FALSE)-AE45)</f>
        <v>-</v>
      </c>
      <c r="CG45" s="91">
        <f>IF(AF45="-","-",VLOOKUP($G45,CTBat!$G$10:$AN$184,CG$9,FALSE)-AF45)</f>
        <v>1</v>
      </c>
      <c r="CH45" s="91" t="str">
        <f>IF(AG45="-","-",VLOOKUP($G45,CTBat!$G$10:$AN$184,CH$9,FALSE)-AG45)</f>
        <v>-</v>
      </c>
      <c r="CI45" s="91" t="str">
        <f>IF(AH45="-","-",VLOOKUP($G45,CTBat!$G$10:$AN$184,CI$9,FALSE)-AH45)</f>
        <v>-</v>
      </c>
      <c r="CJ45" s="91" t="str">
        <f>IF(AI45="-","-",VLOOKUP($G45,CTBat!$G$10:$AN$184,CJ$9,FALSE)-AI45)</f>
        <v>-</v>
      </c>
      <c r="CK45" s="91" t="str">
        <f>IF(AJ45="-","-",VLOOKUP($G45,CTBat!$G$10:$AN$184,CK$9,FALSE)-AJ45)</f>
        <v>-</v>
      </c>
      <c r="CL45" s="91" t="str">
        <f>IF(AK45="-","-",VLOOKUP($G45,CTBat!$G$10:$AN$184,CL$9,FALSE)-AK45)</f>
        <v>-</v>
      </c>
      <c r="CM45" s="91">
        <f>IF(AL45="-","-",VLOOKUP($G45,CTBat!$G$10:$AN$184,CM$9,FALSE)-AL45)</f>
        <v>0</v>
      </c>
      <c r="CN45" s="91">
        <f>IF(AM45="-","-",VLOOKUP($G45,CTBat!$G$10:$AN$184,CN$9,FALSE)-AM45)</f>
        <v>0</v>
      </c>
      <c r="CO45" s="91">
        <f>IF(AN45="-","-",VLOOKUP($G45,CTBat!$G$10:$AN$184,CO$9,FALSE)-AN45)</f>
        <v>1</v>
      </c>
      <c r="CP45" s="91">
        <f t="shared" si="78"/>
        <v>0</v>
      </c>
      <c r="CQ45" s="91">
        <f t="shared" si="79"/>
        <v>-2</v>
      </c>
      <c r="CR45" s="91">
        <f t="shared" si="80"/>
        <v>1</v>
      </c>
      <c r="CS45" s="91">
        <f t="shared" si="81"/>
        <v>1</v>
      </c>
      <c r="CT45" s="91">
        <f t="shared" si="82"/>
        <v>0</v>
      </c>
    </row>
    <row r="46" spans="1:98">
      <c r="C46" t="str">
        <f t="shared" si="48"/>
        <v>-</v>
      </c>
      <c r="D46" t="str">
        <f t="shared" si="49"/>
        <v>-</v>
      </c>
      <c r="E46" t="str">
        <f t="shared" si="50"/>
        <v>K</v>
      </c>
      <c r="F46" t="s">
        <v>97</v>
      </c>
      <c r="G46" t="s">
        <v>444</v>
      </c>
      <c r="H46" t="s">
        <v>371</v>
      </c>
      <c r="I46" t="s">
        <v>208</v>
      </c>
      <c r="J46">
        <v>26</v>
      </c>
      <c r="K46" t="s">
        <v>104</v>
      </c>
      <c r="L46" t="s">
        <v>104</v>
      </c>
      <c r="M46" t="s">
        <v>47</v>
      </c>
      <c r="N46" s="240" t="s">
        <v>47</v>
      </c>
      <c r="O46" t="s">
        <v>224</v>
      </c>
      <c r="P46" s="240" t="s">
        <v>226</v>
      </c>
      <c r="Q46">
        <v>5</v>
      </c>
      <c r="R46">
        <v>5</v>
      </c>
      <c r="S46">
        <v>2</v>
      </c>
      <c r="T46">
        <v>5</v>
      </c>
      <c r="U46" s="240">
        <v>4</v>
      </c>
      <c r="V46">
        <v>5</v>
      </c>
      <c r="W46">
        <v>5</v>
      </c>
      <c r="X46">
        <v>2</v>
      </c>
      <c r="Y46">
        <v>5</v>
      </c>
      <c r="Z46" s="240">
        <v>4</v>
      </c>
      <c r="AA46">
        <v>5</v>
      </c>
      <c r="AB46">
        <v>3</v>
      </c>
      <c r="AC46">
        <v>1</v>
      </c>
      <c r="AD46" t="s">
        <v>41</v>
      </c>
      <c r="AE46">
        <v>10</v>
      </c>
      <c r="AF46">
        <v>7</v>
      </c>
      <c r="AG46">
        <v>3</v>
      </c>
      <c r="AH46">
        <v>8</v>
      </c>
      <c r="AI46" t="s">
        <v>41</v>
      </c>
      <c r="AJ46" t="s">
        <v>41</v>
      </c>
      <c r="AK46" s="240" t="s">
        <v>41</v>
      </c>
      <c r="AL46">
        <v>5</v>
      </c>
      <c r="AM46">
        <v>8</v>
      </c>
      <c r="AN46" s="240">
        <v>8</v>
      </c>
      <c r="AO46" s="85" t="s">
        <v>41</v>
      </c>
      <c r="AP46" s="240" t="s">
        <v>45</v>
      </c>
      <c r="AQ46" s="6">
        <f t="shared" si="51"/>
        <v>3.5</v>
      </c>
      <c r="AR46" s="9" t="str">
        <f t="shared" si="52"/>
        <v>Minors</v>
      </c>
      <c r="AS46" s="6">
        <f t="shared" si="53"/>
        <v>3.5</v>
      </c>
      <c r="AT46" s="6" t="str">
        <f t="shared" si="54"/>
        <v>Minors</v>
      </c>
      <c r="AU46" s="9">
        <f t="shared" si="55"/>
        <v>3.5</v>
      </c>
      <c r="AV46" s="9" t="str">
        <f t="shared" si="56"/>
        <v>Minors</v>
      </c>
      <c r="AW46" s="53">
        <f t="shared" si="57"/>
        <v>0</v>
      </c>
      <c r="AX46" s="239">
        <f t="shared" si="58"/>
        <v>0</v>
      </c>
      <c r="AY46" s="239">
        <f t="shared" si="59"/>
        <v>0</v>
      </c>
      <c r="AZ46" s="239">
        <f t="shared" si="60"/>
        <v>0</v>
      </c>
      <c r="BA46" s="239">
        <f t="shared" si="61"/>
        <v>0</v>
      </c>
      <c r="BB46" s="239">
        <f t="shared" si="62"/>
        <v>0</v>
      </c>
      <c r="BC46" s="239">
        <f t="shared" si="63"/>
        <v>0</v>
      </c>
      <c r="BD46" s="239">
        <f t="shared" si="64"/>
        <v>0</v>
      </c>
      <c r="BE46" s="240">
        <f t="shared" si="65"/>
        <v>0</v>
      </c>
      <c r="BF46" s="53">
        <f t="shared" si="66"/>
        <v>0</v>
      </c>
      <c r="BG46" s="239">
        <f t="shared" si="67"/>
        <v>0</v>
      </c>
      <c r="BH46" s="239">
        <f t="shared" si="68"/>
        <v>0</v>
      </c>
      <c r="BI46" s="239">
        <f t="shared" si="69"/>
        <v>0</v>
      </c>
      <c r="BJ46" s="239">
        <f t="shared" si="70"/>
        <v>0</v>
      </c>
      <c r="BK46" s="239">
        <f t="shared" si="71"/>
        <v>0</v>
      </c>
      <c r="BL46" s="239">
        <f t="shared" si="72"/>
        <v>0</v>
      </c>
      <c r="BM46" s="239">
        <f t="shared" si="73"/>
        <v>0</v>
      </c>
      <c r="BN46" s="240">
        <f t="shared" si="74"/>
        <v>0</v>
      </c>
      <c r="BO46" s="240">
        <f t="shared" si="75"/>
        <v>2</v>
      </c>
      <c r="BP46" s="7">
        <f t="shared" si="76"/>
        <v>2</v>
      </c>
      <c r="BQ46" t="str">
        <f t="shared" si="77"/>
        <v/>
      </c>
      <c r="BR46" s="91">
        <f>IF(Q46="-","-",VLOOKUP($G46,CTBat!$G$10:$AN$184,BR$9,FALSE)-Q46)</f>
        <v>0</v>
      </c>
      <c r="BS46" s="91">
        <f>IF(R46="-","-",VLOOKUP($G46,CTBat!$G$10:$AN$184,BS$9,FALSE)-R46)</f>
        <v>0</v>
      </c>
      <c r="BT46" s="91">
        <f>IF(S46="-","-",VLOOKUP($G46,CTBat!$G$10:$AN$184,BT$9,FALSE)-S46)</f>
        <v>0</v>
      </c>
      <c r="BU46" s="91">
        <f>IF(T46="-","-",VLOOKUP($G46,CTBat!$G$10:$AN$184,BU$9,FALSE)-T46)</f>
        <v>-1</v>
      </c>
      <c r="BV46" s="91">
        <f>IF(U46="-","-",VLOOKUP($G46,CTBat!$G$10:$AN$184,BV$9,FALSE)-U46)</f>
        <v>0</v>
      </c>
      <c r="BW46" s="91">
        <f>IF(V46="-","-",VLOOKUP($G46,CTBat!$G$10:$AN$184,BW$9,FALSE)-V46)</f>
        <v>0</v>
      </c>
      <c r="BX46" s="91">
        <f>IF(W46="-","-",VLOOKUP($G46,CTBat!$G$10:$AN$184,BX$9,FALSE)-W46)</f>
        <v>0</v>
      </c>
      <c r="BY46" s="91">
        <f>IF(X46="-","-",VLOOKUP($G46,CTBat!$G$10:$AN$184,BY$9,FALSE)-X46)</f>
        <v>0</v>
      </c>
      <c r="BZ46" s="91">
        <f>IF(Y46="-","-",VLOOKUP($G46,CTBat!$G$10:$AN$184,BZ$9,FALSE)-Y46)</f>
        <v>0</v>
      </c>
      <c r="CA46" s="91">
        <f>IF(Z46="-","-",VLOOKUP($G46,CTBat!$G$10:$AN$184,CA$9,FALSE)-Z46)</f>
        <v>0</v>
      </c>
      <c r="CB46" s="91">
        <f>IF(AA46="-","-",VLOOKUP($G46,CTBat!$G$10:$AN$184,CB$9,FALSE)-AA46)</f>
        <v>0</v>
      </c>
      <c r="CC46" s="91">
        <f>IF(AB46="-","-",VLOOKUP($G46,CTBat!$G$10:$AN$184,CC$9,FALSE)-AB46)</f>
        <v>0</v>
      </c>
      <c r="CD46" s="91">
        <f>IF(AC46="-","-",VLOOKUP($G46,CTBat!$G$10:$AN$184,CD$9,FALSE)-AC46)</f>
        <v>0</v>
      </c>
      <c r="CE46" s="91" t="str">
        <f>IF(AD46="-","-",VLOOKUP($G46,CTBat!$G$10:$AN$184,CE$9,FALSE)-AD46)</f>
        <v>-</v>
      </c>
      <c r="CF46" s="91">
        <f>IF(AE46="-","-",VLOOKUP($G46,CTBat!$G$10:$AN$184,CF$9,FALSE)-AE46)</f>
        <v>0</v>
      </c>
      <c r="CG46" s="91">
        <f>IF(AF46="-","-",VLOOKUP($G46,CTBat!$G$10:$AN$184,CG$9,FALSE)-AF46)</f>
        <v>0</v>
      </c>
      <c r="CH46" s="91">
        <f>IF(AG46="-","-",VLOOKUP($G46,CTBat!$G$10:$AN$184,CH$9,FALSE)-AG46)</f>
        <v>1</v>
      </c>
      <c r="CI46" s="91">
        <f>IF(AH46="-","-",VLOOKUP($G46,CTBat!$G$10:$AN$184,CI$9,FALSE)-AH46)</f>
        <v>0</v>
      </c>
      <c r="CJ46" s="91" t="str">
        <f>IF(AI46="-","-",VLOOKUP($G46,CTBat!$G$10:$AN$184,CJ$9,FALSE)-AI46)</f>
        <v>-</v>
      </c>
      <c r="CK46" s="91" t="str">
        <f>IF(AJ46="-","-",VLOOKUP($G46,CTBat!$G$10:$AN$184,CK$9,FALSE)-AJ46)</f>
        <v>-</v>
      </c>
      <c r="CL46" s="91" t="str">
        <f>IF(AK46="-","-",VLOOKUP($G46,CTBat!$G$10:$AN$184,CL$9,FALSE)-AK46)</f>
        <v>-</v>
      </c>
      <c r="CM46" s="91">
        <f>IF(AL46="-","-",VLOOKUP($G46,CTBat!$G$10:$AN$184,CM$9,FALSE)-AL46)</f>
        <v>0</v>
      </c>
      <c r="CN46" s="91">
        <f>IF(AM46="-","-",VLOOKUP($G46,CTBat!$G$10:$AN$184,CN$9,FALSE)-AM46)</f>
        <v>0</v>
      </c>
      <c r="CO46" s="91">
        <f>IF(AN46="-","-",VLOOKUP($G46,CTBat!$G$10:$AN$184,CO$9,FALSE)-AN46)</f>
        <v>0</v>
      </c>
      <c r="CP46" s="91">
        <f t="shared" si="78"/>
        <v>-1</v>
      </c>
      <c r="CQ46" s="91">
        <f t="shared" si="79"/>
        <v>0</v>
      </c>
      <c r="CR46" s="91">
        <f t="shared" si="80"/>
        <v>1</v>
      </c>
      <c r="CS46" s="91">
        <f t="shared" si="81"/>
        <v>0</v>
      </c>
      <c r="CT46" s="91">
        <f t="shared" si="82"/>
        <v>0</v>
      </c>
    </row>
    <row r="47" spans="1:98">
      <c r="C47" t="str">
        <f t="shared" si="48"/>
        <v>-</v>
      </c>
      <c r="D47" t="str">
        <f t="shared" si="49"/>
        <v>-</v>
      </c>
      <c r="E47" t="str">
        <f t="shared" si="50"/>
        <v>K</v>
      </c>
      <c r="F47" t="s">
        <v>100</v>
      </c>
      <c r="G47" t="s">
        <v>421</v>
      </c>
      <c r="H47" t="s">
        <v>373</v>
      </c>
      <c r="I47" t="s">
        <v>210</v>
      </c>
      <c r="J47">
        <v>23</v>
      </c>
      <c r="K47" t="s">
        <v>103</v>
      </c>
      <c r="L47" t="s">
        <v>104</v>
      </c>
      <c r="M47" t="s">
        <v>47</v>
      </c>
      <c r="N47" s="215" t="s">
        <v>47</v>
      </c>
      <c r="O47" t="s">
        <v>225</v>
      </c>
      <c r="P47" s="215" t="s">
        <v>225</v>
      </c>
      <c r="Q47">
        <v>4</v>
      </c>
      <c r="R47">
        <v>8</v>
      </c>
      <c r="S47">
        <v>4</v>
      </c>
      <c r="T47">
        <v>3</v>
      </c>
      <c r="U47" s="215">
        <v>2</v>
      </c>
      <c r="V47">
        <v>4</v>
      </c>
      <c r="W47">
        <v>8</v>
      </c>
      <c r="X47">
        <v>4</v>
      </c>
      <c r="Y47">
        <v>3</v>
      </c>
      <c r="Z47" s="215">
        <v>4</v>
      </c>
      <c r="AA47">
        <v>1</v>
      </c>
      <c r="AB47">
        <v>8</v>
      </c>
      <c r="AC47">
        <v>1</v>
      </c>
      <c r="AD47" t="s">
        <v>41</v>
      </c>
      <c r="AE47">
        <v>1</v>
      </c>
      <c r="AF47" t="s">
        <v>41</v>
      </c>
      <c r="AG47" t="s">
        <v>41</v>
      </c>
      <c r="AH47" t="s">
        <v>41</v>
      </c>
      <c r="AI47">
        <v>6</v>
      </c>
      <c r="AJ47">
        <v>1</v>
      </c>
      <c r="AK47" s="215">
        <v>9</v>
      </c>
      <c r="AL47">
        <v>6</v>
      </c>
      <c r="AM47">
        <v>2</v>
      </c>
      <c r="AN47" s="215">
        <v>2</v>
      </c>
      <c r="AO47" s="85" t="s">
        <v>41</v>
      </c>
      <c r="AP47" s="215">
        <v>0</v>
      </c>
      <c r="AQ47" s="6">
        <f t="shared" si="51"/>
        <v>2.6666666666666665</v>
      </c>
      <c r="AR47" s="9" t="str">
        <f t="shared" si="52"/>
        <v>Minors</v>
      </c>
      <c r="AS47" s="6">
        <f t="shared" si="53"/>
        <v>2.6666666666666665</v>
      </c>
      <c r="AT47" s="6" t="str">
        <f t="shared" si="54"/>
        <v>Minors</v>
      </c>
      <c r="AU47" s="9">
        <f t="shared" si="55"/>
        <v>2.6666666666666665</v>
      </c>
      <c r="AV47" s="9" t="str">
        <f t="shared" si="56"/>
        <v>Minors</v>
      </c>
      <c r="AW47" s="53">
        <f t="shared" si="57"/>
        <v>0</v>
      </c>
      <c r="AX47" s="214">
        <f t="shared" si="58"/>
        <v>0</v>
      </c>
      <c r="AY47" s="214">
        <f t="shared" si="59"/>
        <v>0</v>
      </c>
      <c r="AZ47" s="214">
        <f t="shared" si="60"/>
        <v>0</v>
      </c>
      <c r="BA47" s="214">
        <f t="shared" si="61"/>
        <v>0</v>
      </c>
      <c r="BB47" s="214">
        <f t="shared" si="62"/>
        <v>0</v>
      </c>
      <c r="BC47" s="214">
        <f t="shared" si="63"/>
        <v>0</v>
      </c>
      <c r="BD47" s="214">
        <f t="shared" si="64"/>
        <v>0</v>
      </c>
      <c r="BE47" s="215">
        <f t="shared" si="65"/>
        <v>0</v>
      </c>
      <c r="BF47" s="53">
        <f t="shared" si="66"/>
        <v>0</v>
      </c>
      <c r="BG47" s="214">
        <f t="shared" si="67"/>
        <v>0</v>
      </c>
      <c r="BH47" s="214">
        <f t="shared" si="68"/>
        <v>0</v>
      </c>
      <c r="BI47" s="214">
        <f t="shared" si="69"/>
        <v>0</v>
      </c>
      <c r="BJ47" s="214">
        <f t="shared" si="70"/>
        <v>0</v>
      </c>
      <c r="BK47" s="214">
        <f t="shared" si="71"/>
        <v>0</v>
      </c>
      <c r="BL47" s="214">
        <f t="shared" si="72"/>
        <v>0</v>
      </c>
      <c r="BM47" s="214">
        <f t="shared" si="73"/>
        <v>0</v>
      </c>
      <c r="BN47" s="215">
        <f t="shared" si="74"/>
        <v>0</v>
      </c>
      <c r="BO47" s="215">
        <f t="shared" si="75"/>
        <v>0</v>
      </c>
      <c r="BP47" s="7">
        <f t="shared" si="76"/>
        <v>2</v>
      </c>
      <c r="BQ47" t="str">
        <f t="shared" si="77"/>
        <v/>
      </c>
      <c r="BR47" s="91">
        <f>IF(Q47="-","-",VLOOKUP($G47,CTBat!$G$10:$AN$184,BR$9,FALSE)-Q47)</f>
        <v>0</v>
      </c>
      <c r="BS47" s="91">
        <f>IF(R47="-","-",VLOOKUP($G47,CTBat!$G$10:$AN$184,BS$9,FALSE)-R47)</f>
        <v>0</v>
      </c>
      <c r="BT47" s="91">
        <f>IF(S47="-","-",VLOOKUP($G47,CTBat!$G$10:$AN$184,BT$9,FALSE)-S47)</f>
        <v>0</v>
      </c>
      <c r="BU47" s="91">
        <f>IF(T47="-","-",VLOOKUP($G47,CTBat!$G$10:$AN$184,BU$9,FALSE)-T47)</f>
        <v>0</v>
      </c>
      <c r="BV47" s="91">
        <f>IF(U47="-","-",VLOOKUP($G47,CTBat!$G$10:$AN$184,BV$9,FALSE)-U47)</f>
        <v>0</v>
      </c>
      <c r="BW47" s="91">
        <f>IF(V47="-","-",VLOOKUP($G47,CTBat!$G$10:$AN$184,BW$9,FALSE)-V47)</f>
        <v>0</v>
      </c>
      <c r="BX47" s="91">
        <f>IF(W47="-","-",VLOOKUP($G47,CTBat!$G$10:$AN$184,BX$9,FALSE)-W47)</f>
        <v>0</v>
      </c>
      <c r="BY47" s="91">
        <f>IF(X47="-","-",VLOOKUP($G47,CTBat!$G$10:$AN$184,BY$9,FALSE)-X47)</f>
        <v>0</v>
      </c>
      <c r="BZ47" s="91">
        <f>IF(Y47="-","-",VLOOKUP($G47,CTBat!$G$10:$AN$184,BZ$9,FALSE)-Y47)</f>
        <v>0</v>
      </c>
      <c r="CA47" s="91">
        <f>IF(Z47="-","-",VLOOKUP($G47,CTBat!$G$10:$AN$184,CA$9,FALSE)-Z47)</f>
        <v>-1</v>
      </c>
      <c r="CB47" s="91">
        <f>IF(AA47="-","-",VLOOKUP($G47,CTBat!$G$10:$AN$184,CB$9,FALSE)-AA47)</f>
        <v>0</v>
      </c>
      <c r="CC47" s="91">
        <f>IF(AB47="-","-",VLOOKUP($G47,CTBat!$G$10:$AN$184,CC$9,FALSE)-AB47)</f>
        <v>0</v>
      </c>
      <c r="CD47" s="91">
        <f>IF(AC47="-","-",VLOOKUP($G47,CTBat!$G$10:$AN$184,CD$9,FALSE)-AC47)</f>
        <v>0</v>
      </c>
      <c r="CE47" s="91" t="str">
        <f>IF(AD47="-","-",VLOOKUP($G47,CTBat!$G$10:$AN$184,CE$9,FALSE)-AD47)</f>
        <v>-</v>
      </c>
      <c r="CF47" s="91">
        <f>IF(AE47="-","-",VLOOKUP($G47,CTBat!$G$10:$AN$184,CF$9,FALSE)-AE47)</f>
        <v>0</v>
      </c>
      <c r="CG47" s="91" t="str">
        <f>IF(AF47="-","-",VLOOKUP($G47,CTBat!$G$10:$AN$184,CG$9,FALSE)-AF47)</f>
        <v>-</v>
      </c>
      <c r="CH47" s="91" t="str">
        <f>IF(AG47="-","-",VLOOKUP($G47,CTBat!$G$10:$AN$184,CH$9,FALSE)-AG47)</f>
        <v>-</v>
      </c>
      <c r="CI47" s="91" t="str">
        <f>IF(AH47="-","-",VLOOKUP($G47,CTBat!$G$10:$AN$184,CI$9,FALSE)-AH47)</f>
        <v>-</v>
      </c>
      <c r="CJ47" s="91">
        <f>IF(AI47="-","-",VLOOKUP($G47,CTBat!$G$10:$AN$184,CJ$9,FALSE)-AI47)</f>
        <v>0</v>
      </c>
      <c r="CK47" s="91">
        <f>IF(AJ47="-","-",VLOOKUP($G47,CTBat!$G$10:$AN$184,CK$9,FALSE)-AJ47)</f>
        <v>0</v>
      </c>
      <c r="CL47" s="91">
        <f>IF(AK47="-","-",VLOOKUP($G47,CTBat!$G$10:$AN$184,CL$9,FALSE)-AK47)</f>
        <v>0</v>
      </c>
      <c r="CM47" s="91">
        <f>IF(AL47="-","-",VLOOKUP($G47,CTBat!$G$10:$AN$184,CM$9,FALSE)-AL47)</f>
        <v>0</v>
      </c>
      <c r="CN47" s="91">
        <f>IF(AM47="-","-",VLOOKUP($G47,CTBat!$G$10:$AN$184,CN$9,FALSE)-AM47)</f>
        <v>0</v>
      </c>
      <c r="CO47" s="91">
        <f>IF(AN47="-","-",VLOOKUP($G47,CTBat!$G$10:$AN$184,CO$9,FALSE)-AN47)</f>
        <v>1</v>
      </c>
      <c r="CP47" s="91">
        <f t="shared" si="78"/>
        <v>0</v>
      </c>
      <c r="CQ47" s="91">
        <f t="shared" si="79"/>
        <v>-1</v>
      </c>
      <c r="CR47" s="91">
        <f t="shared" si="80"/>
        <v>0</v>
      </c>
      <c r="CS47" s="91">
        <f t="shared" si="81"/>
        <v>1</v>
      </c>
      <c r="CT47" s="91">
        <f t="shared" si="82"/>
        <v>0</v>
      </c>
    </row>
    <row r="48" spans="1:98">
      <c r="C48" s="105" t="str">
        <f t="shared" si="48"/>
        <v>-</v>
      </c>
      <c r="D48" s="105" t="str">
        <f t="shared" si="49"/>
        <v>-</v>
      </c>
      <c r="E48" s="105" t="str">
        <f t="shared" si="50"/>
        <v>K</v>
      </c>
      <c r="F48" t="s">
        <v>92</v>
      </c>
      <c r="G48" t="s">
        <v>527</v>
      </c>
      <c r="H48" t="s">
        <v>370</v>
      </c>
      <c r="I48" t="s">
        <v>316</v>
      </c>
      <c r="J48">
        <v>22</v>
      </c>
      <c r="K48" t="s">
        <v>104</v>
      </c>
      <c r="L48" t="s">
        <v>104</v>
      </c>
      <c r="M48" t="s">
        <v>47</v>
      </c>
      <c r="N48" s="3" t="s">
        <v>47</v>
      </c>
      <c r="O48" t="s">
        <v>225</v>
      </c>
      <c r="P48" s="3" t="s">
        <v>225</v>
      </c>
      <c r="Q48">
        <v>3</v>
      </c>
      <c r="R48">
        <v>9</v>
      </c>
      <c r="S48">
        <v>2</v>
      </c>
      <c r="T48">
        <v>4</v>
      </c>
      <c r="U48" s="3">
        <v>2</v>
      </c>
      <c r="V48">
        <v>4</v>
      </c>
      <c r="W48">
        <v>9</v>
      </c>
      <c r="X48">
        <v>3</v>
      </c>
      <c r="Y48">
        <v>4</v>
      </c>
      <c r="Z48" s="3">
        <v>3</v>
      </c>
      <c r="AA48">
        <v>3</v>
      </c>
      <c r="AB48">
        <v>3</v>
      </c>
      <c r="AC48">
        <v>5</v>
      </c>
      <c r="AD48">
        <v>5</v>
      </c>
      <c r="AE48" t="s">
        <v>41</v>
      </c>
      <c r="AF48" t="s">
        <v>41</v>
      </c>
      <c r="AG48" t="s">
        <v>41</v>
      </c>
      <c r="AH48" t="s">
        <v>41</v>
      </c>
      <c r="AI48" t="s">
        <v>41</v>
      </c>
      <c r="AJ48" t="s">
        <v>41</v>
      </c>
      <c r="AK48" s="3" t="s">
        <v>41</v>
      </c>
      <c r="AL48">
        <v>2</v>
      </c>
      <c r="AM48">
        <v>3</v>
      </c>
      <c r="AN48" s="3">
        <v>1</v>
      </c>
      <c r="AO48" t="s">
        <v>41</v>
      </c>
      <c r="AP48" s="3">
        <v>0</v>
      </c>
      <c r="AQ48" s="6">
        <f t="shared" si="51"/>
        <v>1.5</v>
      </c>
      <c r="AR48" s="9" t="str">
        <f t="shared" si="52"/>
        <v>Minors</v>
      </c>
      <c r="AS48" s="6">
        <f t="shared" si="53"/>
        <v>2.6666666666666665</v>
      </c>
      <c r="AT48" s="6" t="str">
        <f t="shared" si="54"/>
        <v>Minors</v>
      </c>
      <c r="AU48" s="9">
        <f t="shared" si="55"/>
        <v>2.6666666666666665</v>
      </c>
      <c r="AV48" s="9" t="str">
        <f t="shared" si="56"/>
        <v>Minors</v>
      </c>
      <c r="AW48" s="53">
        <f t="shared" si="57"/>
        <v>0</v>
      </c>
      <c r="AX48" s="5">
        <f t="shared" si="58"/>
        <v>0</v>
      </c>
      <c r="AY48" s="5">
        <f t="shared" si="59"/>
        <v>0</v>
      </c>
      <c r="AZ48" s="5">
        <f t="shared" si="60"/>
        <v>0</v>
      </c>
      <c r="BA48" s="5">
        <f t="shared" si="61"/>
        <v>0</v>
      </c>
      <c r="BB48" s="5">
        <f t="shared" si="62"/>
        <v>0</v>
      </c>
      <c r="BC48" s="5">
        <f t="shared" si="63"/>
        <v>0</v>
      </c>
      <c r="BD48" s="5">
        <f t="shared" si="64"/>
        <v>0</v>
      </c>
      <c r="BE48" s="3">
        <f t="shared" si="65"/>
        <v>0</v>
      </c>
      <c r="BF48" s="53">
        <f t="shared" si="66"/>
        <v>0</v>
      </c>
      <c r="BG48" s="5">
        <f t="shared" si="67"/>
        <v>0</v>
      </c>
      <c r="BH48" s="5">
        <f t="shared" si="68"/>
        <v>0</v>
      </c>
      <c r="BI48" s="5">
        <f t="shared" si="69"/>
        <v>0</v>
      </c>
      <c r="BJ48" s="5">
        <f t="shared" si="70"/>
        <v>0</v>
      </c>
      <c r="BK48" s="5">
        <f t="shared" si="71"/>
        <v>0</v>
      </c>
      <c r="BL48" s="5">
        <f t="shared" si="72"/>
        <v>0</v>
      </c>
      <c r="BM48" s="5">
        <f t="shared" si="73"/>
        <v>0</v>
      </c>
      <c r="BN48" s="3">
        <f t="shared" si="74"/>
        <v>0</v>
      </c>
      <c r="BO48" s="3">
        <f t="shared" si="75"/>
        <v>0</v>
      </c>
      <c r="BP48" s="7">
        <f t="shared" si="76"/>
        <v>1</v>
      </c>
      <c r="BQ48" t="str">
        <f t="shared" si="77"/>
        <v/>
      </c>
      <c r="BR48" s="91">
        <f>IF(Q48="-","-",VLOOKUP($G48,CTBat!$G$10:$AN$184,BR$9,FALSE)-Q48)</f>
        <v>0</v>
      </c>
      <c r="BS48" s="91">
        <f>IF(R48="-","-",VLOOKUP($G48,CTBat!$G$10:$AN$184,BS$9,FALSE)-R48)</f>
        <v>0</v>
      </c>
      <c r="BT48" s="91">
        <f>IF(S48="-","-",VLOOKUP($G48,CTBat!$G$10:$AN$184,BT$9,FALSE)-S48)</f>
        <v>0</v>
      </c>
      <c r="BU48" s="91">
        <f>IF(T48="-","-",VLOOKUP($G48,CTBat!$G$10:$AN$184,BU$9,FALSE)-T48)</f>
        <v>0</v>
      </c>
      <c r="BV48" s="91">
        <f>IF(U48="-","-",VLOOKUP($G48,CTBat!$G$10:$AN$184,BV$9,FALSE)-U48)</f>
        <v>0</v>
      </c>
      <c r="BW48" s="91">
        <f>IF(V48="-","-",VLOOKUP($G48,CTBat!$G$10:$AN$184,BW$9,FALSE)-V48)</f>
        <v>0</v>
      </c>
      <c r="BX48" s="91">
        <f>IF(W48="-","-",VLOOKUP($G48,CTBat!$G$10:$AN$184,BX$9,FALSE)-W48)</f>
        <v>0</v>
      </c>
      <c r="BY48" s="91">
        <f>IF(X48="-","-",VLOOKUP($G48,CTBat!$G$10:$AN$184,BY$9,FALSE)-X48)</f>
        <v>-1</v>
      </c>
      <c r="BZ48" s="91">
        <f>IF(Y48="-","-",VLOOKUP($G48,CTBat!$G$10:$AN$184,BZ$9,FALSE)-Y48)</f>
        <v>1</v>
      </c>
      <c r="CA48" s="91">
        <f>IF(Z48="-","-",VLOOKUP($G48,CTBat!$G$10:$AN$184,CA$9,FALSE)-Z48)</f>
        <v>0</v>
      </c>
      <c r="CB48" s="91">
        <f>IF(AA48="-","-",VLOOKUP($G48,CTBat!$G$10:$AN$184,CB$9,FALSE)-AA48)</f>
        <v>0</v>
      </c>
      <c r="CC48" s="91">
        <f>IF(AB48="-","-",VLOOKUP($G48,CTBat!$G$10:$AN$184,CC$9,FALSE)-AB48)</f>
        <v>0</v>
      </c>
      <c r="CD48" s="91">
        <f>IF(AC48="-","-",VLOOKUP($G48,CTBat!$G$10:$AN$184,CD$9,FALSE)-AC48)</f>
        <v>0</v>
      </c>
      <c r="CE48" s="91">
        <f>IF(AD48="-","-",VLOOKUP($G48,CTBat!$G$10:$AN$184,CE$9,FALSE)-AD48)</f>
        <v>-1</v>
      </c>
      <c r="CF48" s="91" t="str">
        <f>IF(AE48="-","-",VLOOKUP($G48,CTBat!$G$10:$AN$184,CF$9,FALSE)-AE48)</f>
        <v>-</v>
      </c>
      <c r="CG48" s="91" t="str">
        <f>IF(AF48="-","-",VLOOKUP($G48,CTBat!$G$10:$AN$184,CG$9,FALSE)-AF48)</f>
        <v>-</v>
      </c>
      <c r="CH48" s="91" t="str">
        <f>IF(AG48="-","-",VLOOKUP($G48,CTBat!$G$10:$AN$184,CH$9,FALSE)-AG48)</f>
        <v>-</v>
      </c>
      <c r="CI48" s="91" t="str">
        <f>IF(AH48="-","-",VLOOKUP($G48,CTBat!$G$10:$AN$184,CI$9,FALSE)-AH48)</f>
        <v>-</v>
      </c>
      <c r="CJ48" s="91" t="str">
        <f>IF(AI48="-","-",VLOOKUP($G48,CTBat!$G$10:$AN$184,CJ$9,FALSE)-AI48)</f>
        <v>-</v>
      </c>
      <c r="CK48" s="91" t="str">
        <f>IF(AJ48="-","-",VLOOKUP($G48,CTBat!$G$10:$AN$184,CK$9,FALSE)-AJ48)</f>
        <v>-</v>
      </c>
      <c r="CL48" s="91" t="str">
        <f>IF(AK48="-","-",VLOOKUP($G48,CTBat!$G$10:$AN$184,CL$9,FALSE)-AK48)</f>
        <v>-</v>
      </c>
      <c r="CM48" s="91">
        <f>IF(AL48="-","-",VLOOKUP($G48,CTBat!$G$10:$AN$184,CM$9,FALSE)-AL48)</f>
        <v>0</v>
      </c>
      <c r="CN48" s="91">
        <f>IF(AM48="-","-",VLOOKUP($G48,CTBat!$G$10:$AN$184,CN$9,FALSE)-AM48)</f>
        <v>1</v>
      </c>
      <c r="CO48" s="91">
        <f>IF(AN48="-","-",VLOOKUP($G48,CTBat!$G$10:$AN$184,CO$9,FALSE)-AN48)</f>
        <v>0</v>
      </c>
      <c r="CP48" s="91">
        <f t="shared" si="78"/>
        <v>0</v>
      </c>
      <c r="CQ48" s="91">
        <f t="shared" si="79"/>
        <v>0</v>
      </c>
      <c r="CR48" s="91">
        <f t="shared" si="80"/>
        <v>-1</v>
      </c>
      <c r="CS48" s="91">
        <f t="shared" si="81"/>
        <v>1</v>
      </c>
      <c r="CT48" s="91">
        <f t="shared" si="82"/>
        <v>0</v>
      </c>
    </row>
    <row r="49" spans="1:98">
      <c r="C49" t="str">
        <f t="shared" si="48"/>
        <v>-</v>
      </c>
      <c r="D49" t="str">
        <f t="shared" si="49"/>
        <v>-</v>
      </c>
      <c r="E49" t="str">
        <f t="shared" si="50"/>
        <v>K</v>
      </c>
      <c r="F49" t="s">
        <v>97</v>
      </c>
      <c r="G49" t="s">
        <v>419</v>
      </c>
      <c r="H49" t="s">
        <v>370</v>
      </c>
      <c r="I49" t="s">
        <v>316</v>
      </c>
      <c r="J49">
        <v>23</v>
      </c>
      <c r="K49" t="s">
        <v>104</v>
      </c>
      <c r="L49" t="s">
        <v>104</v>
      </c>
      <c r="M49" t="s">
        <v>47</v>
      </c>
      <c r="N49" s="215" t="s">
        <v>47</v>
      </c>
      <c r="O49" t="s">
        <v>227</v>
      </c>
      <c r="P49" s="215" t="s">
        <v>226</v>
      </c>
      <c r="Q49">
        <v>3</v>
      </c>
      <c r="R49">
        <v>5</v>
      </c>
      <c r="S49">
        <v>2</v>
      </c>
      <c r="T49">
        <v>3</v>
      </c>
      <c r="U49" s="215">
        <v>2</v>
      </c>
      <c r="V49">
        <v>4</v>
      </c>
      <c r="W49">
        <v>6</v>
      </c>
      <c r="X49">
        <v>2</v>
      </c>
      <c r="Y49">
        <v>3</v>
      </c>
      <c r="Z49" s="215">
        <v>4</v>
      </c>
      <c r="AA49">
        <v>7</v>
      </c>
      <c r="AB49">
        <v>6</v>
      </c>
      <c r="AC49">
        <v>1</v>
      </c>
      <c r="AD49" t="s">
        <v>41</v>
      </c>
      <c r="AE49">
        <v>8</v>
      </c>
      <c r="AF49">
        <v>9</v>
      </c>
      <c r="AG49">
        <v>7</v>
      </c>
      <c r="AH49">
        <v>10</v>
      </c>
      <c r="AI49" t="s">
        <v>41</v>
      </c>
      <c r="AJ49" t="s">
        <v>41</v>
      </c>
      <c r="AK49" s="215">
        <v>7</v>
      </c>
      <c r="AL49">
        <v>6</v>
      </c>
      <c r="AM49">
        <v>7</v>
      </c>
      <c r="AN49" s="215">
        <v>6</v>
      </c>
      <c r="AO49" s="85" t="s">
        <v>41</v>
      </c>
      <c r="AP49" s="215">
        <v>0</v>
      </c>
      <c r="AQ49" s="6">
        <f t="shared" si="51"/>
        <v>1.1666666666666665</v>
      </c>
      <c r="AR49" s="9" t="str">
        <f t="shared" si="52"/>
        <v>Minors</v>
      </c>
      <c r="AS49" s="6">
        <f t="shared" si="53"/>
        <v>2</v>
      </c>
      <c r="AT49" s="6" t="str">
        <f t="shared" si="54"/>
        <v>Minors</v>
      </c>
      <c r="AU49" s="9">
        <f t="shared" si="55"/>
        <v>2</v>
      </c>
      <c r="AV49" s="9" t="str">
        <f t="shared" si="56"/>
        <v>Minors</v>
      </c>
      <c r="AW49" s="53">
        <f t="shared" si="57"/>
        <v>0</v>
      </c>
      <c r="AX49" s="214">
        <f t="shared" si="58"/>
        <v>0</v>
      </c>
      <c r="AY49" s="214">
        <f t="shared" si="59"/>
        <v>0</v>
      </c>
      <c r="AZ49" s="214">
        <f t="shared" si="60"/>
        <v>0</v>
      </c>
      <c r="BA49" s="214">
        <f t="shared" si="61"/>
        <v>0</v>
      </c>
      <c r="BB49" s="214">
        <f t="shared" si="62"/>
        <v>0</v>
      </c>
      <c r="BC49" s="214">
        <f t="shared" si="63"/>
        <v>0</v>
      </c>
      <c r="BD49" s="214">
        <f t="shared" si="64"/>
        <v>0</v>
      </c>
      <c r="BE49" s="215">
        <f t="shared" si="65"/>
        <v>0</v>
      </c>
      <c r="BF49" s="53">
        <f t="shared" si="66"/>
        <v>0</v>
      </c>
      <c r="BG49" s="214">
        <f t="shared" si="67"/>
        <v>0</v>
      </c>
      <c r="BH49" s="214">
        <f t="shared" si="68"/>
        <v>0</v>
      </c>
      <c r="BI49" s="214">
        <f t="shared" si="69"/>
        <v>0</v>
      </c>
      <c r="BJ49" s="214">
        <f t="shared" si="70"/>
        <v>0</v>
      </c>
      <c r="BK49" s="214">
        <f t="shared" si="71"/>
        <v>0</v>
      </c>
      <c r="BL49" s="214">
        <f t="shared" si="72"/>
        <v>0</v>
      </c>
      <c r="BM49" s="214">
        <f t="shared" si="73"/>
        <v>0</v>
      </c>
      <c r="BN49" s="215">
        <f t="shared" si="74"/>
        <v>0</v>
      </c>
      <c r="BO49" s="215">
        <f t="shared" si="75"/>
        <v>0</v>
      </c>
      <c r="BP49" s="7">
        <f t="shared" si="76"/>
        <v>2</v>
      </c>
      <c r="BQ49" t="str">
        <f t="shared" si="77"/>
        <v/>
      </c>
      <c r="BR49" s="91">
        <f>IF(Q49="-","-",VLOOKUP($G49,CTBat!$G$10:$AN$184,BR$9,FALSE)-Q49)</f>
        <v>0</v>
      </c>
      <c r="BS49" s="91">
        <f>IF(R49="-","-",VLOOKUP($G49,CTBat!$G$10:$AN$184,BS$9,FALSE)-R49)</f>
        <v>0</v>
      </c>
      <c r="BT49" s="91">
        <f>IF(S49="-","-",VLOOKUP($G49,CTBat!$G$10:$AN$184,BT$9,FALSE)-S49)</f>
        <v>0</v>
      </c>
      <c r="BU49" s="91">
        <f>IF(T49="-","-",VLOOKUP($G49,CTBat!$G$10:$AN$184,BU$9,FALSE)-T49)</f>
        <v>0</v>
      </c>
      <c r="BV49" s="91">
        <f>IF(U49="-","-",VLOOKUP($G49,CTBat!$G$10:$AN$184,BV$9,FALSE)-U49)</f>
        <v>0</v>
      </c>
      <c r="BW49" s="91">
        <f>IF(V49="-","-",VLOOKUP($G49,CTBat!$G$10:$AN$184,BW$9,FALSE)-V49)</f>
        <v>0</v>
      </c>
      <c r="BX49" s="91">
        <f>IF(W49="-","-",VLOOKUP($G49,CTBat!$G$10:$AN$184,BX$9,FALSE)-W49)</f>
        <v>0</v>
      </c>
      <c r="BY49" s="91">
        <f>IF(X49="-","-",VLOOKUP($G49,CTBat!$G$10:$AN$184,BY$9,FALSE)-X49)</f>
        <v>0</v>
      </c>
      <c r="BZ49" s="91">
        <f>IF(Y49="-","-",VLOOKUP($G49,CTBat!$G$10:$AN$184,BZ$9,FALSE)-Y49)</f>
        <v>1</v>
      </c>
      <c r="CA49" s="91">
        <f>IF(Z49="-","-",VLOOKUP($G49,CTBat!$G$10:$AN$184,CA$9,FALSE)-Z49)</f>
        <v>-1</v>
      </c>
      <c r="CB49" s="91">
        <f>IF(AA49="-","-",VLOOKUP($G49,CTBat!$G$10:$AN$184,CB$9,FALSE)-AA49)</f>
        <v>0</v>
      </c>
      <c r="CC49" s="91">
        <f>IF(AB49="-","-",VLOOKUP($G49,CTBat!$G$10:$AN$184,CC$9,FALSE)-AB49)</f>
        <v>0</v>
      </c>
      <c r="CD49" s="91">
        <f>IF(AC49="-","-",VLOOKUP($G49,CTBat!$G$10:$AN$184,CD$9,FALSE)-AC49)</f>
        <v>0</v>
      </c>
      <c r="CE49" s="91" t="str">
        <f>IF(AD49="-","-",VLOOKUP($G49,CTBat!$G$10:$AN$184,CE$9,FALSE)-AD49)</f>
        <v>-</v>
      </c>
      <c r="CF49" s="91">
        <f>IF(AE49="-","-",VLOOKUP($G49,CTBat!$G$10:$AN$184,CF$9,FALSE)-AE49)</f>
        <v>0</v>
      </c>
      <c r="CG49" s="91">
        <f>IF(AF49="-","-",VLOOKUP($G49,CTBat!$G$10:$AN$184,CG$9,FALSE)-AF49)</f>
        <v>-1</v>
      </c>
      <c r="CH49" s="91">
        <f>IF(AG49="-","-",VLOOKUP($G49,CTBat!$G$10:$AN$184,CH$9,FALSE)-AG49)</f>
        <v>0</v>
      </c>
      <c r="CI49" s="91">
        <f>IF(AH49="-","-",VLOOKUP($G49,CTBat!$G$10:$AN$184,CI$9,FALSE)-AH49)</f>
        <v>-1</v>
      </c>
      <c r="CJ49" s="91" t="str">
        <f>IF(AI49="-","-",VLOOKUP($G49,CTBat!$G$10:$AN$184,CJ$9,FALSE)-AI49)</f>
        <v>-</v>
      </c>
      <c r="CK49" s="91" t="str">
        <f>IF(AJ49="-","-",VLOOKUP($G49,CTBat!$G$10:$AN$184,CK$9,FALSE)-AJ49)</f>
        <v>-</v>
      </c>
      <c r="CL49" s="91">
        <f>IF(AK49="-","-",VLOOKUP($G49,CTBat!$G$10:$AN$184,CL$9,FALSE)-AK49)</f>
        <v>0</v>
      </c>
      <c r="CM49" s="91">
        <f>IF(AL49="-","-",VLOOKUP($G49,CTBat!$G$10:$AN$184,CM$9,FALSE)-AL49)</f>
        <v>0</v>
      </c>
      <c r="CN49" s="91">
        <f>IF(AM49="-","-",VLOOKUP($G49,CTBat!$G$10:$AN$184,CN$9,FALSE)-AM49)</f>
        <v>1</v>
      </c>
      <c r="CO49" s="91">
        <f>IF(AN49="-","-",VLOOKUP($G49,CTBat!$G$10:$AN$184,CO$9,FALSE)-AN49)</f>
        <v>1</v>
      </c>
      <c r="CP49" s="91">
        <f t="shared" si="78"/>
        <v>0</v>
      </c>
      <c r="CQ49" s="91">
        <f t="shared" si="79"/>
        <v>0</v>
      </c>
      <c r="CR49" s="91">
        <f t="shared" si="80"/>
        <v>-2</v>
      </c>
      <c r="CS49" s="91">
        <f t="shared" si="81"/>
        <v>2</v>
      </c>
      <c r="CT49" s="91">
        <f t="shared" si="82"/>
        <v>0</v>
      </c>
    </row>
    <row r="50" spans="1:98">
      <c r="C50" t="str">
        <f t="shared" si="48"/>
        <v>-</v>
      </c>
      <c r="D50" t="str">
        <f t="shared" si="49"/>
        <v>-</v>
      </c>
      <c r="E50" t="str">
        <f t="shared" si="50"/>
        <v>K</v>
      </c>
      <c r="F50" t="s">
        <v>95</v>
      </c>
      <c r="G50" t="s">
        <v>418</v>
      </c>
      <c r="H50" t="s">
        <v>370</v>
      </c>
      <c r="I50" t="s">
        <v>316</v>
      </c>
      <c r="J50">
        <v>23</v>
      </c>
      <c r="K50" t="s">
        <v>104</v>
      </c>
      <c r="L50" t="s">
        <v>104</v>
      </c>
      <c r="M50" t="s">
        <v>47</v>
      </c>
      <c r="N50" s="325" t="s">
        <v>47</v>
      </c>
      <c r="O50" t="s">
        <v>225</v>
      </c>
      <c r="P50" s="325" t="s">
        <v>226</v>
      </c>
      <c r="Q50">
        <v>3</v>
      </c>
      <c r="R50">
        <v>3</v>
      </c>
      <c r="S50">
        <v>1</v>
      </c>
      <c r="T50">
        <v>2</v>
      </c>
      <c r="U50" s="325">
        <v>2</v>
      </c>
      <c r="V50">
        <v>4</v>
      </c>
      <c r="W50">
        <v>6</v>
      </c>
      <c r="X50">
        <v>2</v>
      </c>
      <c r="Y50">
        <v>3</v>
      </c>
      <c r="Z50" s="325">
        <v>3</v>
      </c>
      <c r="AA50">
        <v>2</v>
      </c>
      <c r="AB50">
        <v>3</v>
      </c>
      <c r="AC50">
        <v>1</v>
      </c>
      <c r="AD50" t="s">
        <v>41</v>
      </c>
      <c r="AE50">
        <v>10</v>
      </c>
      <c r="AF50">
        <v>10</v>
      </c>
      <c r="AG50" t="s">
        <v>41</v>
      </c>
      <c r="AH50" t="s">
        <v>41</v>
      </c>
      <c r="AI50">
        <v>1</v>
      </c>
      <c r="AJ50" t="s">
        <v>41</v>
      </c>
      <c r="AK50" s="325" t="s">
        <v>41</v>
      </c>
      <c r="AL50">
        <v>6</v>
      </c>
      <c r="AM50">
        <v>7</v>
      </c>
      <c r="AN50" s="325">
        <v>7</v>
      </c>
      <c r="AO50" s="85" t="s">
        <v>41</v>
      </c>
      <c r="AP50" s="325">
        <v>0</v>
      </c>
      <c r="AQ50" s="6">
        <f t="shared" si="51"/>
        <v>0.5</v>
      </c>
      <c r="AR50" s="9" t="str">
        <f t="shared" si="52"/>
        <v>Minors</v>
      </c>
      <c r="AS50" s="6">
        <f t="shared" si="53"/>
        <v>2</v>
      </c>
      <c r="AT50" s="6" t="str">
        <f t="shared" si="54"/>
        <v>Minors</v>
      </c>
      <c r="AU50" s="9">
        <f t="shared" si="55"/>
        <v>2</v>
      </c>
      <c r="AV50" s="9" t="str">
        <f t="shared" si="56"/>
        <v>Minors</v>
      </c>
      <c r="AW50" s="323">
        <f t="shared" si="57"/>
        <v>0</v>
      </c>
      <c r="AX50" s="324">
        <f t="shared" si="58"/>
        <v>0</v>
      </c>
      <c r="AY50" s="324">
        <f t="shared" si="59"/>
        <v>0</v>
      </c>
      <c r="AZ50" s="324">
        <f t="shared" si="60"/>
        <v>0</v>
      </c>
      <c r="BA50" s="324">
        <f t="shared" si="61"/>
        <v>0</v>
      </c>
      <c r="BB50" s="324">
        <f t="shared" si="62"/>
        <v>0</v>
      </c>
      <c r="BC50" s="324">
        <f t="shared" si="63"/>
        <v>0</v>
      </c>
      <c r="BD50" s="324">
        <f t="shared" si="64"/>
        <v>0</v>
      </c>
      <c r="BE50" s="325">
        <f t="shared" si="65"/>
        <v>0</v>
      </c>
      <c r="BF50" s="323">
        <f t="shared" si="66"/>
        <v>0</v>
      </c>
      <c r="BG50" s="324">
        <f t="shared" si="67"/>
        <v>0</v>
      </c>
      <c r="BH50" s="324">
        <f t="shared" si="68"/>
        <v>0</v>
      </c>
      <c r="BI50" s="324">
        <f t="shared" si="69"/>
        <v>0</v>
      </c>
      <c r="BJ50" s="324">
        <f t="shared" si="70"/>
        <v>0</v>
      </c>
      <c r="BK50" s="324">
        <f t="shared" si="71"/>
        <v>0</v>
      </c>
      <c r="BL50" s="324">
        <f t="shared" si="72"/>
        <v>0</v>
      </c>
      <c r="BM50" s="324">
        <f t="shared" si="73"/>
        <v>0</v>
      </c>
      <c r="BN50" s="325">
        <f t="shared" si="74"/>
        <v>0</v>
      </c>
      <c r="BO50" s="325">
        <f t="shared" si="75"/>
        <v>1</v>
      </c>
      <c r="BP50" s="7">
        <f t="shared" si="76"/>
        <v>2</v>
      </c>
      <c r="BQ50" t="str">
        <f t="shared" si="77"/>
        <v/>
      </c>
      <c r="BR50" s="91">
        <f>IF(Q50="-","-",VLOOKUP($G50,CTBat!$G$10:$AN$184,BR$9,FALSE)-Q50)</f>
        <v>0</v>
      </c>
      <c r="BS50" s="91">
        <f>IF(R50="-","-",VLOOKUP($G50,CTBat!$G$10:$AN$184,BS$9,FALSE)-R50)</f>
        <v>1</v>
      </c>
      <c r="BT50" s="91">
        <f>IF(S50="-","-",VLOOKUP($G50,CTBat!$G$10:$AN$184,BT$9,FALSE)-S50)</f>
        <v>0</v>
      </c>
      <c r="BU50" s="91">
        <f>IF(T50="-","-",VLOOKUP($G50,CTBat!$G$10:$AN$184,BU$9,FALSE)-T50)</f>
        <v>0</v>
      </c>
      <c r="BV50" s="91">
        <f>IF(U50="-","-",VLOOKUP($G50,CTBat!$G$10:$AN$184,BV$9,FALSE)-U50)</f>
        <v>0</v>
      </c>
      <c r="BW50" s="91">
        <f>IF(V50="-","-",VLOOKUP($G50,CTBat!$G$10:$AN$184,BW$9,FALSE)-V50)</f>
        <v>0</v>
      </c>
      <c r="BX50" s="91">
        <f>IF(W50="-","-",VLOOKUP($G50,CTBat!$G$10:$AN$184,BX$9,FALSE)-W50)</f>
        <v>-1</v>
      </c>
      <c r="BY50" s="91">
        <f>IF(X50="-","-",VLOOKUP($G50,CTBat!$G$10:$AN$184,BY$9,FALSE)-X50)</f>
        <v>0</v>
      </c>
      <c r="BZ50" s="91">
        <f>IF(Y50="-","-",VLOOKUP($G50,CTBat!$G$10:$AN$184,BZ$9,FALSE)-Y50)</f>
        <v>0</v>
      </c>
      <c r="CA50" s="91">
        <f>IF(Z50="-","-",VLOOKUP($G50,CTBat!$G$10:$AN$184,CA$9,FALSE)-Z50)</f>
        <v>0</v>
      </c>
      <c r="CB50" s="91">
        <f>IF(AA50="-","-",VLOOKUP($G50,CTBat!$G$10:$AN$184,CB$9,FALSE)-AA50)</f>
        <v>1</v>
      </c>
      <c r="CC50" s="91">
        <f>IF(AB50="-","-",VLOOKUP($G50,CTBat!$G$10:$AN$184,CC$9,FALSE)-AB50)</f>
        <v>0</v>
      </c>
      <c r="CD50" s="91">
        <f>IF(AC50="-","-",VLOOKUP($G50,CTBat!$G$10:$AN$184,CD$9,FALSE)-AC50)</f>
        <v>0</v>
      </c>
      <c r="CE50" s="91" t="str">
        <f>IF(AD50="-","-",VLOOKUP($G50,CTBat!$G$10:$AN$184,CE$9,FALSE)-AD50)</f>
        <v>-</v>
      </c>
      <c r="CF50" s="91">
        <f>IF(AE50="-","-",VLOOKUP($G50,CTBat!$G$10:$AN$184,CF$9,FALSE)-AE50)</f>
        <v>0</v>
      </c>
      <c r="CG50" s="91">
        <f>IF(AF50="-","-",VLOOKUP($G50,CTBat!$G$10:$AN$184,CG$9,FALSE)-AF50)</f>
        <v>0</v>
      </c>
      <c r="CH50" s="91" t="str">
        <f>IF(AG50="-","-",VLOOKUP($G50,CTBat!$G$10:$AN$184,CH$9,FALSE)-AG50)</f>
        <v>-</v>
      </c>
      <c r="CI50" s="91" t="str">
        <f>IF(AH50="-","-",VLOOKUP($G50,CTBat!$G$10:$AN$184,CI$9,FALSE)-AH50)</f>
        <v>-</v>
      </c>
      <c r="CJ50" s="91">
        <f>IF(AI50="-","-",VLOOKUP($G50,CTBat!$G$10:$AN$184,CJ$9,FALSE)-AI50)</f>
        <v>0</v>
      </c>
      <c r="CK50" s="91" t="str">
        <f>IF(AJ50="-","-",VLOOKUP($G50,CTBat!$G$10:$AN$184,CK$9,FALSE)-AJ50)</f>
        <v>-</v>
      </c>
      <c r="CL50" s="91" t="str">
        <f>IF(AK50="-","-",VLOOKUP($G50,CTBat!$G$10:$AN$184,CL$9,FALSE)-AK50)</f>
        <v>-</v>
      </c>
      <c r="CM50" s="91">
        <f>IF(AL50="-","-",VLOOKUP($G50,CTBat!$G$10:$AN$184,CM$9,FALSE)-AL50)</f>
        <v>0</v>
      </c>
      <c r="CN50" s="91">
        <f>IF(AM50="-","-",VLOOKUP($G50,CTBat!$G$10:$AN$184,CN$9,FALSE)-AM50)</f>
        <v>0</v>
      </c>
      <c r="CO50" s="91">
        <f>IF(AN50="-","-",VLOOKUP($G50,CTBat!$G$10:$AN$184,CO$9,FALSE)-AN50)</f>
        <v>-1</v>
      </c>
      <c r="CP50" s="91">
        <f t="shared" si="78"/>
        <v>1</v>
      </c>
      <c r="CQ50" s="91">
        <f t="shared" si="79"/>
        <v>-1</v>
      </c>
      <c r="CR50" s="91">
        <f t="shared" si="80"/>
        <v>1</v>
      </c>
      <c r="CS50" s="91">
        <f t="shared" si="81"/>
        <v>-1</v>
      </c>
      <c r="CT50" s="91">
        <f t="shared" si="82"/>
        <v>0</v>
      </c>
    </row>
    <row r="51" spans="1:98">
      <c r="C51">
        <f t="shared" si="48"/>
        <v>2</v>
      </c>
      <c r="D51" t="str">
        <f t="shared" si="49"/>
        <v>-</v>
      </c>
      <c r="E51" t="str">
        <f t="shared" si="50"/>
        <v>K</v>
      </c>
      <c r="F51" t="s">
        <v>94</v>
      </c>
      <c r="G51" t="s">
        <v>524</v>
      </c>
      <c r="H51" t="s">
        <v>370</v>
      </c>
      <c r="I51" t="s">
        <v>316</v>
      </c>
      <c r="J51">
        <v>21</v>
      </c>
      <c r="K51" t="s">
        <v>103</v>
      </c>
      <c r="L51" t="s">
        <v>104</v>
      </c>
      <c r="M51" t="s">
        <v>47</v>
      </c>
      <c r="N51" s="325" t="s">
        <v>47</v>
      </c>
      <c r="O51" t="s">
        <v>227</v>
      </c>
      <c r="P51" s="325" t="s">
        <v>225</v>
      </c>
      <c r="Q51">
        <v>5</v>
      </c>
      <c r="R51">
        <v>2</v>
      </c>
      <c r="S51">
        <v>2</v>
      </c>
      <c r="T51">
        <v>4</v>
      </c>
      <c r="U51" s="325">
        <v>3</v>
      </c>
      <c r="V51">
        <v>7</v>
      </c>
      <c r="W51">
        <v>5</v>
      </c>
      <c r="X51">
        <v>5</v>
      </c>
      <c r="Y51">
        <v>6</v>
      </c>
      <c r="Z51" s="325">
        <v>6</v>
      </c>
      <c r="AA51">
        <v>4</v>
      </c>
      <c r="AB51">
        <v>2</v>
      </c>
      <c r="AC51">
        <v>1</v>
      </c>
      <c r="AD51" t="s">
        <v>41</v>
      </c>
      <c r="AE51">
        <v>7</v>
      </c>
      <c r="AF51" t="s">
        <v>41</v>
      </c>
      <c r="AG51" t="s">
        <v>41</v>
      </c>
      <c r="AH51" t="s">
        <v>41</v>
      </c>
      <c r="AI51" t="s">
        <v>41</v>
      </c>
      <c r="AJ51" t="s">
        <v>41</v>
      </c>
      <c r="AK51" s="325" t="s">
        <v>41</v>
      </c>
      <c r="AL51">
        <v>4</v>
      </c>
      <c r="AM51">
        <v>3</v>
      </c>
      <c r="AN51" s="325">
        <v>2</v>
      </c>
      <c r="AO51" s="85" t="s">
        <v>41</v>
      </c>
      <c r="AP51" s="325">
        <v>0</v>
      </c>
      <c r="AQ51" s="6">
        <f t="shared" si="51"/>
        <v>3.1666666666666665</v>
      </c>
      <c r="AR51" s="9" t="str">
        <f t="shared" si="52"/>
        <v>Minors</v>
      </c>
      <c r="AS51" s="6">
        <f t="shared" si="53"/>
        <v>6.5</v>
      </c>
      <c r="AT51" s="6" t="str">
        <f t="shared" si="54"/>
        <v>Reg</v>
      </c>
      <c r="AU51" s="9">
        <f t="shared" si="55"/>
        <v>6.5</v>
      </c>
      <c r="AV51" s="9" t="str">
        <f t="shared" si="56"/>
        <v>Reg</v>
      </c>
      <c r="AW51" s="323">
        <f t="shared" si="57"/>
        <v>0</v>
      </c>
      <c r="AX51" s="324">
        <f t="shared" si="58"/>
        <v>0</v>
      </c>
      <c r="AY51" s="324">
        <f t="shared" si="59"/>
        <v>0</v>
      </c>
      <c r="AZ51" s="324">
        <f t="shared" si="60"/>
        <v>0</v>
      </c>
      <c r="BA51" s="324">
        <f t="shared" si="61"/>
        <v>0</v>
      </c>
      <c r="BB51" s="324">
        <f t="shared" si="62"/>
        <v>0</v>
      </c>
      <c r="BC51" s="324">
        <f t="shared" si="63"/>
        <v>0</v>
      </c>
      <c r="BD51" s="324">
        <f t="shared" si="64"/>
        <v>0</v>
      </c>
      <c r="BE51" s="325">
        <f t="shared" si="65"/>
        <v>0</v>
      </c>
      <c r="BF51" s="323">
        <f t="shared" si="66"/>
        <v>0</v>
      </c>
      <c r="BG51" s="324">
        <f t="shared" si="67"/>
        <v>1</v>
      </c>
      <c r="BH51" s="324">
        <f t="shared" si="68"/>
        <v>0</v>
      </c>
      <c r="BI51" s="324">
        <f t="shared" si="69"/>
        <v>0</v>
      </c>
      <c r="BJ51" s="324">
        <f t="shared" si="70"/>
        <v>0</v>
      </c>
      <c r="BK51" s="324">
        <f t="shared" si="71"/>
        <v>1</v>
      </c>
      <c r="BL51" s="324">
        <f t="shared" si="72"/>
        <v>1</v>
      </c>
      <c r="BM51" s="324">
        <f t="shared" si="73"/>
        <v>1</v>
      </c>
      <c r="BN51" s="325">
        <f t="shared" si="74"/>
        <v>1</v>
      </c>
      <c r="BO51" s="325">
        <f t="shared" si="75"/>
        <v>0</v>
      </c>
      <c r="BP51" s="7">
        <f t="shared" si="76"/>
        <v>2</v>
      </c>
      <c r="BQ51" t="str">
        <f t="shared" si="77"/>
        <v/>
      </c>
      <c r="BR51" s="91">
        <f>IF(Q51="-","-",VLOOKUP($G51,CTBat!$G$10:$AN$184,BR$9,FALSE)-Q51)</f>
        <v>0</v>
      </c>
      <c r="BS51" s="91">
        <f>IF(R51="-","-",VLOOKUP($G51,CTBat!$G$10:$AN$184,BS$9,FALSE)-R51)</f>
        <v>1</v>
      </c>
      <c r="BT51" s="91">
        <f>IF(S51="-","-",VLOOKUP($G51,CTBat!$G$10:$AN$184,BT$9,FALSE)-S51)</f>
        <v>0</v>
      </c>
      <c r="BU51" s="91">
        <f>IF(T51="-","-",VLOOKUP($G51,CTBat!$G$10:$AN$184,BU$9,FALSE)-T51)</f>
        <v>1</v>
      </c>
      <c r="BV51" s="91">
        <f>IF(U51="-","-",VLOOKUP($G51,CTBat!$G$10:$AN$184,BV$9,FALSE)-U51)</f>
        <v>0</v>
      </c>
      <c r="BW51" s="91">
        <f>IF(V51="-","-",VLOOKUP($G51,CTBat!$G$10:$AN$184,BW$9,FALSE)-V51)</f>
        <v>0</v>
      </c>
      <c r="BX51" s="91">
        <f>IF(W51="-","-",VLOOKUP($G51,CTBat!$G$10:$AN$184,BX$9,FALSE)-W51)</f>
        <v>-1</v>
      </c>
      <c r="BY51" s="91">
        <f>IF(X51="-","-",VLOOKUP($G51,CTBat!$G$10:$AN$184,BY$9,FALSE)-X51)</f>
        <v>-1</v>
      </c>
      <c r="BZ51" s="91">
        <f>IF(Y51="-","-",VLOOKUP($G51,CTBat!$G$10:$AN$184,BZ$9,FALSE)-Y51)</f>
        <v>1</v>
      </c>
      <c r="CA51" s="91">
        <f>IF(Z51="-","-",VLOOKUP($G51,CTBat!$G$10:$AN$184,CA$9,FALSE)-Z51)</f>
        <v>-1</v>
      </c>
      <c r="CB51" s="91">
        <f>IF(AA51="-","-",VLOOKUP($G51,CTBat!$G$10:$AN$184,CB$9,FALSE)-AA51)</f>
        <v>0</v>
      </c>
      <c r="CC51" s="91">
        <f>IF(AB51="-","-",VLOOKUP($G51,CTBat!$G$10:$AN$184,CC$9,FALSE)-AB51)</f>
        <v>0</v>
      </c>
      <c r="CD51" s="91">
        <f>IF(AC51="-","-",VLOOKUP($G51,CTBat!$G$10:$AN$184,CD$9,FALSE)-AC51)</f>
        <v>0</v>
      </c>
      <c r="CE51" s="91" t="str">
        <f>IF(AD51="-","-",VLOOKUP($G51,CTBat!$G$10:$AN$184,CE$9,FALSE)-AD51)</f>
        <v>-</v>
      </c>
      <c r="CF51" s="91">
        <f>IF(AE51="-","-",VLOOKUP($G51,CTBat!$G$10:$AN$184,CF$9,FALSE)-AE51)</f>
        <v>-1</v>
      </c>
      <c r="CG51" s="91" t="str">
        <f>IF(AF51="-","-",VLOOKUP($G51,CTBat!$G$10:$AN$184,CG$9,FALSE)-AF51)</f>
        <v>-</v>
      </c>
      <c r="CH51" s="91" t="str">
        <f>IF(AG51="-","-",VLOOKUP($G51,CTBat!$G$10:$AN$184,CH$9,FALSE)-AG51)</f>
        <v>-</v>
      </c>
      <c r="CI51" s="91" t="str">
        <f>IF(AH51="-","-",VLOOKUP($G51,CTBat!$G$10:$AN$184,CI$9,FALSE)-AH51)</f>
        <v>-</v>
      </c>
      <c r="CJ51" s="91" t="str">
        <f>IF(AI51="-","-",VLOOKUP($G51,CTBat!$G$10:$AN$184,CJ$9,FALSE)-AI51)</f>
        <v>-</v>
      </c>
      <c r="CK51" s="91" t="str">
        <f>IF(AJ51="-","-",VLOOKUP($G51,CTBat!$G$10:$AN$184,CK$9,FALSE)-AJ51)</f>
        <v>-</v>
      </c>
      <c r="CL51" s="91" t="str">
        <f>IF(AK51="-","-",VLOOKUP($G51,CTBat!$G$10:$AN$184,CL$9,FALSE)-AK51)</f>
        <v>-</v>
      </c>
      <c r="CM51" s="91">
        <f>IF(AL51="-","-",VLOOKUP($G51,CTBat!$G$10:$AN$184,CM$9,FALSE)-AL51)</f>
        <v>0</v>
      </c>
      <c r="CN51" s="91">
        <f>IF(AM51="-","-",VLOOKUP($G51,CTBat!$G$10:$AN$184,CN$9,FALSE)-AM51)</f>
        <v>0</v>
      </c>
      <c r="CO51" s="91">
        <f>IF(AN51="-","-",VLOOKUP($G51,CTBat!$G$10:$AN$184,CO$9,FALSE)-AN51)</f>
        <v>0</v>
      </c>
      <c r="CP51" s="91">
        <f t="shared" si="78"/>
        <v>2</v>
      </c>
      <c r="CQ51" s="91">
        <f t="shared" si="79"/>
        <v>-2</v>
      </c>
      <c r="CR51" s="91">
        <f t="shared" si="80"/>
        <v>-1</v>
      </c>
      <c r="CS51" s="91">
        <f t="shared" si="81"/>
        <v>0</v>
      </c>
      <c r="CT51" s="91">
        <f t="shared" si="82"/>
        <v>-1</v>
      </c>
    </row>
    <row r="52" spans="1:98">
      <c r="C52">
        <f t="shared" si="48"/>
        <v>7</v>
      </c>
      <c r="D52" t="str">
        <f t="shared" si="49"/>
        <v>-</v>
      </c>
      <c r="E52" t="str">
        <f t="shared" si="50"/>
        <v>K</v>
      </c>
      <c r="F52" t="s">
        <v>92</v>
      </c>
      <c r="G52" t="s">
        <v>523</v>
      </c>
      <c r="H52" t="s">
        <v>370</v>
      </c>
      <c r="I52" t="s">
        <v>316</v>
      </c>
      <c r="J52">
        <v>21</v>
      </c>
      <c r="K52" t="s">
        <v>104</v>
      </c>
      <c r="L52" t="s">
        <v>104</v>
      </c>
      <c r="M52" t="s">
        <v>47</v>
      </c>
      <c r="N52" s="3" t="s">
        <v>47</v>
      </c>
      <c r="O52" t="s">
        <v>225</v>
      </c>
      <c r="P52" s="3" t="s">
        <v>225</v>
      </c>
      <c r="Q52">
        <v>3</v>
      </c>
      <c r="R52">
        <v>4</v>
      </c>
      <c r="S52">
        <v>2</v>
      </c>
      <c r="T52">
        <v>3</v>
      </c>
      <c r="U52" s="3">
        <v>2</v>
      </c>
      <c r="V52">
        <v>5</v>
      </c>
      <c r="W52">
        <v>8</v>
      </c>
      <c r="X52">
        <v>7</v>
      </c>
      <c r="Y52">
        <v>5</v>
      </c>
      <c r="Z52" s="3">
        <v>5</v>
      </c>
      <c r="AA52">
        <v>6</v>
      </c>
      <c r="AB52">
        <v>6</v>
      </c>
      <c r="AC52">
        <v>8</v>
      </c>
      <c r="AD52">
        <v>6</v>
      </c>
      <c r="AE52" t="s">
        <v>41</v>
      </c>
      <c r="AF52" t="s">
        <v>41</v>
      </c>
      <c r="AG52" t="s">
        <v>41</v>
      </c>
      <c r="AH52" t="s">
        <v>41</v>
      </c>
      <c r="AI52" t="s">
        <v>41</v>
      </c>
      <c r="AJ52" t="s">
        <v>41</v>
      </c>
      <c r="AK52" s="3" t="s">
        <v>41</v>
      </c>
      <c r="AL52">
        <v>5</v>
      </c>
      <c r="AM52">
        <v>4</v>
      </c>
      <c r="AN52" s="3">
        <v>3</v>
      </c>
      <c r="AO52" s="85" t="s">
        <v>41</v>
      </c>
      <c r="AP52" s="3">
        <v>0</v>
      </c>
      <c r="AQ52" s="6">
        <f t="shared" si="51"/>
        <v>1.1666666666666665</v>
      </c>
      <c r="AR52" s="9" t="str">
        <f t="shared" si="52"/>
        <v>Minors</v>
      </c>
      <c r="AS52" s="6">
        <f t="shared" si="53"/>
        <v>5.166666666666667</v>
      </c>
      <c r="AT52" s="6" t="str">
        <f t="shared" si="54"/>
        <v>Reg</v>
      </c>
      <c r="AU52" s="9">
        <f t="shared" si="55"/>
        <v>5.166666666666667</v>
      </c>
      <c r="AV52" s="9" t="str">
        <f t="shared" si="56"/>
        <v>Reg</v>
      </c>
      <c r="AW52" s="53">
        <f t="shared" si="57"/>
        <v>0</v>
      </c>
      <c r="AX52" s="5">
        <f t="shared" si="58"/>
        <v>0</v>
      </c>
      <c r="AY52" s="5">
        <f t="shared" si="59"/>
        <v>0</v>
      </c>
      <c r="AZ52" s="5">
        <f t="shared" si="60"/>
        <v>0</v>
      </c>
      <c r="BA52" s="5">
        <f t="shared" si="61"/>
        <v>0</v>
      </c>
      <c r="BB52" s="5">
        <f t="shared" si="62"/>
        <v>0</v>
      </c>
      <c r="BC52" s="5">
        <f t="shared" si="63"/>
        <v>0</v>
      </c>
      <c r="BD52" s="5">
        <f t="shared" si="64"/>
        <v>0</v>
      </c>
      <c r="BE52" s="3">
        <f t="shared" si="65"/>
        <v>0</v>
      </c>
      <c r="BF52" s="53">
        <f t="shared" si="66"/>
        <v>0</v>
      </c>
      <c r="BG52" s="5">
        <f t="shared" si="67"/>
        <v>0</v>
      </c>
      <c r="BH52" s="5">
        <f t="shared" si="68"/>
        <v>0</v>
      </c>
      <c r="BI52" s="5">
        <f t="shared" si="69"/>
        <v>0</v>
      </c>
      <c r="BJ52" s="5">
        <f t="shared" si="70"/>
        <v>0</v>
      </c>
      <c r="BK52" s="5">
        <f t="shared" si="71"/>
        <v>0</v>
      </c>
      <c r="BL52" s="5">
        <f t="shared" si="72"/>
        <v>1</v>
      </c>
      <c r="BM52" s="5">
        <f t="shared" si="73"/>
        <v>1</v>
      </c>
      <c r="BN52" s="3">
        <f t="shared" si="74"/>
        <v>1</v>
      </c>
      <c r="BO52" s="3">
        <f t="shared" si="75"/>
        <v>0</v>
      </c>
      <c r="BP52" s="7">
        <f t="shared" si="76"/>
        <v>1</v>
      </c>
      <c r="BQ52" t="str">
        <f t="shared" si="77"/>
        <v/>
      </c>
      <c r="BR52" s="91">
        <f>IF(Q52="-","-",VLOOKUP($G52,CTBat!$G$10:$AN$184,BR$9,FALSE)-Q52)</f>
        <v>1</v>
      </c>
      <c r="BS52" s="91">
        <f>IF(R52="-","-",VLOOKUP($G52,CTBat!$G$10:$AN$184,BS$9,FALSE)-R52)</f>
        <v>1</v>
      </c>
      <c r="BT52" s="91">
        <f>IF(S52="-","-",VLOOKUP($G52,CTBat!$G$10:$AN$184,BT$9,FALSE)-S52)</f>
        <v>1</v>
      </c>
      <c r="BU52" s="91">
        <f>IF(T52="-","-",VLOOKUP($G52,CTBat!$G$10:$AN$184,BU$9,FALSE)-T52)</f>
        <v>0</v>
      </c>
      <c r="BV52" s="91">
        <f>IF(U52="-","-",VLOOKUP($G52,CTBat!$G$10:$AN$184,BV$9,FALSE)-U52)</f>
        <v>1</v>
      </c>
      <c r="BW52" s="91">
        <f>IF(V52="-","-",VLOOKUP($G52,CTBat!$G$10:$AN$184,BW$9,FALSE)-V52)</f>
        <v>0</v>
      </c>
      <c r="BX52" s="91">
        <f>IF(W52="-","-",VLOOKUP($G52,CTBat!$G$10:$AN$184,BX$9,FALSE)-W52)</f>
        <v>-1</v>
      </c>
      <c r="BY52" s="91">
        <f>IF(X52="-","-",VLOOKUP($G52,CTBat!$G$10:$AN$184,BY$9,FALSE)-X52)</f>
        <v>-2</v>
      </c>
      <c r="BZ52" s="91">
        <f>IF(Y52="-","-",VLOOKUP($G52,CTBat!$G$10:$AN$184,BZ$9,FALSE)-Y52)</f>
        <v>0</v>
      </c>
      <c r="CA52" s="91">
        <f>IF(Z52="-","-",VLOOKUP($G52,CTBat!$G$10:$AN$184,CA$9,FALSE)-Z52)</f>
        <v>-1</v>
      </c>
      <c r="CB52" s="91">
        <f>IF(AA52="-","-",VLOOKUP($G52,CTBat!$G$10:$AN$184,CB$9,FALSE)-AA52)</f>
        <v>0</v>
      </c>
      <c r="CC52" s="91">
        <f>IF(AB52="-","-",VLOOKUP($G52,CTBat!$G$10:$AN$184,CC$9,FALSE)-AB52)</f>
        <v>0</v>
      </c>
      <c r="CD52" s="91">
        <f>IF(AC52="-","-",VLOOKUP($G52,CTBat!$G$10:$AN$184,CD$9,FALSE)-AC52)</f>
        <v>0</v>
      </c>
      <c r="CE52" s="91">
        <f>IF(AD52="-","-",VLOOKUP($G52,CTBat!$G$10:$AN$184,CE$9,FALSE)-AD52)</f>
        <v>0</v>
      </c>
      <c r="CF52" s="91" t="str">
        <f>IF(AE52="-","-",VLOOKUP($G52,CTBat!$G$10:$AN$184,CF$9,FALSE)-AE52)</f>
        <v>-</v>
      </c>
      <c r="CG52" s="91" t="str">
        <f>IF(AF52="-","-",VLOOKUP($G52,CTBat!$G$10:$AN$184,CG$9,FALSE)-AF52)</f>
        <v>-</v>
      </c>
      <c r="CH52" s="91" t="str">
        <f>IF(AG52="-","-",VLOOKUP($G52,CTBat!$G$10:$AN$184,CH$9,FALSE)-AG52)</f>
        <v>-</v>
      </c>
      <c r="CI52" s="91" t="str">
        <f>IF(AH52="-","-",VLOOKUP($G52,CTBat!$G$10:$AN$184,CI$9,FALSE)-AH52)</f>
        <v>-</v>
      </c>
      <c r="CJ52" s="91" t="str">
        <f>IF(AI52="-","-",VLOOKUP($G52,CTBat!$G$10:$AN$184,CJ$9,FALSE)-AI52)</f>
        <v>-</v>
      </c>
      <c r="CK52" s="91" t="str">
        <f>IF(AJ52="-","-",VLOOKUP($G52,CTBat!$G$10:$AN$184,CK$9,FALSE)-AJ52)</f>
        <v>-</v>
      </c>
      <c r="CL52" s="91" t="str">
        <f>IF(AK52="-","-",VLOOKUP($G52,CTBat!$G$10:$AN$184,CL$9,FALSE)-AK52)</f>
        <v>-</v>
      </c>
      <c r="CM52" s="91">
        <f>IF(AL52="-","-",VLOOKUP($G52,CTBat!$G$10:$AN$184,CM$9,FALSE)-AL52)</f>
        <v>-1</v>
      </c>
      <c r="CN52" s="91">
        <f>IF(AM52="-","-",VLOOKUP($G52,CTBat!$G$10:$AN$184,CN$9,FALSE)-AM52)</f>
        <v>0</v>
      </c>
      <c r="CO52" s="91">
        <f>IF(AN52="-","-",VLOOKUP($G52,CTBat!$G$10:$AN$184,CO$9,FALSE)-AN52)</f>
        <v>0</v>
      </c>
      <c r="CP52" s="91">
        <f t="shared" si="78"/>
        <v>4</v>
      </c>
      <c r="CQ52" s="91">
        <f t="shared" si="79"/>
        <v>-4</v>
      </c>
      <c r="CR52" s="91">
        <f t="shared" si="80"/>
        <v>0</v>
      </c>
      <c r="CS52" s="91">
        <f t="shared" si="81"/>
        <v>-1</v>
      </c>
      <c r="CT52" s="91">
        <f t="shared" si="82"/>
        <v>-1</v>
      </c>
    </row>
    <row r="53" spans="1:98">
      <c r="C53" t="str">
        <f t="shared" si="48"/>
        <v>-</v>
      </c>
      <c r="D53" t="str">
        <f t="shared" si="49"/>
        <v>-</v>
      </c>
      <c r="E53" t="str">
        <f t="shared" si="50"/>
        <v>K</v>
      </c>
      <c r="F53" t="s">
        <v>97</v>
      </c>
      <c r="G53" t="s">
        <v>438</v>
      </c>
      <c r="H53" t="s">
        <v>372</v>
      </c>
      <c r="I53" t="s">
        <v>209</v>
      </c>
      <c r="J53">
        <v>23</v>
      </c>
      <c r="K53" t="s">
        <v>104</v>
      </c>
      <c r="L53" t="s">
        <v>104</v>
      </c>
      <c r="M53" t="s">
        <v>47</v>
      </c>
      <c r="N53" s="3" t="s">
        <v>47</v>
      </c>
      <c r="O53" t="s">
        <v>223</v>
      </c>
      <c r="P53" s="3" t="s">
        <v>224</v>
      </c>
      <c r="Q53">
        <v>5</v>
      </c>
      <c r="R53">
        <v>6</v>
      </c>
      <c r="S53">
        <v>4</v>
      </c>
      <c r="T53">
        <v>5</v>
      </c>
      <c r="U53" s="3">
        <v>4</v>
      </c>
      <c r="V53">
        <v>5</v>
      </c>
      <c r="W53">
        <v>6</v>
      </c>
      <c r="X53">
        <v>5</v>
      </c>
      <c r="Y53">
        <v>6</v>
      </c>
      <c r="Z53" s="3">
        <v>4</v>
      </c>
      <c r="AA53">
        <v>9</v>
      </c>
      <c r="AB53">
        <v>8</v>
      </c>
      <c r="AC53">
        <v>1</v>
      </c>
      <c r="AD53" t="s">
        <v>41</v>
      </c>
      <c r="AE53">
        <v>9</v>
      </c>
      <c r="AF53">
        <v>6</v>
      </c>
      <c r="AG53">
        <v>8</v>
      </c>
      <c r="AH53">
        <v>7</v>
      </c>
      <c r="AI53">
        <v>6</v>
      </c>
      <c r="AJ53" t="s">
        <v>41</v>
      </c>
      <c r="AK53" s="3" t="s">
        <v>41</v>
      </c>
      <c r="AL53">
        <v>7</v>
      </c>
      <c r="AM53">
        <v>8</v>
      </c>
      <c r="AN53" s="3">
        <v>7</v>
      </c>
      <c r="AO53" s="85" t="s">
        <v>41</v>
      </c>
      <c r="AP53" s="3">
        <v>0</v>
      </c>
      <c r="AQ53" s="6">
        <f t="shared" si="51"/>
        <v>4.166666666666667</v>
      </c>
      <c r="AR53" s="9" t="str">
        <f t="shared" si="52"/>
        <v>Bench</v>
      </c>
      <c r="AS53" s="6">
        <f t="shared" si="53"/>
        <v>4.833333333333333</v>
      </c>
      <c r="AT53" s="6" t="str">
        <f t="shared" si="54"/>
        <v>Bench</v>
      </c>
      <c r="AU53" s="9">
        <f t="shared" si="55"/>
        <v>4.833333333333333</v>
      </c>
      <c r="AV53" s="9" t="str">
        <f t="shared" si="56"/>
        <v>Bench</v>
      </c>
      <c r="AW53" s="53">
        <f t="shared" si="57"/>
        <v>0</v>
      </c>
      <c r="AX53" s="5">
        <f t="shared" si="58"/>
        <v>0</v>
      </c>
      <c r="AY53" s="5">
        <f t="shared" si="59"/>
        <v>0</v>
      </c>
      <c r="AZ53" s="5">
        <f t="shared" si="60"/>
        <v>0</v>
      </c>
      <c r="BA53" s="5">
        <f t="shared" si="61"/>
        <v>0</v>
      </c>
      <c r="BB53" s="5">
        <f t="shared" si="62"/>
        <v>0</v>
      </c>
      <c r="BC53" s="5">
        <f t="shared" si="63"/>
        <v>0</v>
      </c>
      <c r="BD53" s="5">
        <f t="shared" si="64"/>
        <v>0</v>
      </c>
      <c r="BE53" s="3">
        <f t="shared" si="65"/>
        <v>0</v>
      </c>
      <c r="BF53" s="53">
        <f t="shared" si="66"/>
        <v>0</v>
      </c>
      <c r="BG53" s="5">
        <f t="shared" si="67"/>
        <v>0</v>
      </c>
      <c r="BH53" s="5">
        <f t="shared" si="68"/>
        <v>0</v>
      </c>
      <c r="BI53" s="5">
        <f t="shared" si="69"/>
        <v>0</v>
      </c>
      <c r="BJ53" s="5">
        <f t="shared" si="70"/>
        <v>0</v>
      </c>
      <c r="BK53" s="5">
        <f t="shared" si="71"/>
        <v>0</v>
      </c>
      <c r="BL53" s="5">
        <f t="shared" si="72"/>
        <v>0</v>
      </c>
      <c r="BM53" s="5">
        <f t="shared" si="73"/>
        <v>0</v>
      </c>
      <c r="BN53" s="3">
        <f t="shared" si="74"/>
        <v>0</v>
      </c>
      <c r="BO53" s="3">
        <f t="shared" si="75"/>
        <v>3</v>
      </c>
      <c r="BP53" s="7">
        <f t="shared" si="76"/>
        <v>2</v>
      </c>
      <c r="BQ53" t="str">
        <f t="shared" si="77"/>
        <v/>
      </c>
      <c r="BR53" s="91">
        <f>IF(Q53="-","-",VLOOKUP($G53,CTBat!$G$10:$AN$184,BR$9,FALSE)-Q53)</f>
        <v>0</v>
      </c>
      <c r="BS53" s="91">
        <f>IF(R53="-","-",VLOOKUP($G53,CTBat!$G$10:$AN$184,BS$9,FALSE)-R53)</f>
        <v>0</v>
      </c>
      <c r="BT53" s="91">
        <f>IF(S53="-","-",VLOOKUP($G53,CTBat!$G$10:$AN$184,BT$9,FALSE)-S53)</f>
        <v>1</v>
      </c>
      <c r="BU53" s="91">
        <f>IF(T53="-","-",VLOOKUP($G53,CTBat!$G$10:$AN$184,BU$9,FALSE)-T53)</f>
        <v>0</v>
      </c>
      <c r="BV53" s="91">
        <f>IF(U53="-","-",VLOOKUP($G53,CTBat!$G$10:$AN$184,BV$9,FALSE)-U53)</f>
        <v>0</v>
      </c>
      <c r="BW53" s="91">
        <f>IF(V53="-","-",VLOOKUP($G53,CTBat!$G$10:$AN$184,BW$9,FALSE)-V53)</f>
        <v>0</v>
      </c>
      <c r="BX53" s="91">
        <f>IF(W53="-","-",VLOOKUP($G53,CTBat!$G$10:$AN$184,BX$9,FALSE)-W53)</f>
        <v>0</v>
      </c>
      <c r="BY53" s="91">
        <f>IF(X53="-","-",VLOOKUP($G53,CTBat!$G$10:$AN$184,BY$9,FALSE)-X53)</f>
        <v>0</v>
      </c>
      <c r="BZ53" s="91">
        <f>IF(Y53="-","-",VLOOKUP($G53,CTBat!$G$10:$AN$184,BZ$9,FALSE)-Y53)</f>
        <v>0</v>
      </c>
      <c r="CA53" s="91">
        <f>IF(Z53="-","-",VLOOKUP($G53,CTBat!$G$10:$AN$184,CA$9,FALSE)-Z53)</f>
        <v>0</v>
      </c>
      <c r="CB53" s="91">
        <f>IF(AA53="-","-",VLOOKUP($G53,CTBat!$G$10:$AN$184,CB$9,FALSE)-AA53)</f>
        <v>0</v>
      </c>
      <c r="CC53" s="91">
        <f>IF(AB53="-","-",VLOOKUP($G53,CTBat!$G$10:$AN$184,CC$9,FALSE)-AB53)</f>
        <v>0</v>
      </c>
      <c r="CD53" s="91">
        <f>IF(AC53="-","-",VLOOKUP($G53,CTBat!$G$10:$AN$184,CD$9,FALSE)-AC53)</f>
        <v>0</v>
      </c>
      <c r="CE53" s="91" t="str">
        <f>IF(AD53="-","-",VLOOKUP($G53,CTBat!$G$10:$AN$184,CE$9,FALSE)-AD53)</f>
        <v>-</v>
      </c>
      <c r="CF53" s="91">
        <f>IF(AE53="-","-",VLOOKUP($G53,CTBat!$G$10:$AN$184,CF$9,FALSE)-AE53)</f>
        <v>-1</v>
      </c>
      <c r="CG53" s="91">
        <f>IF(AF53="-","-",VLOOKUP($G53,CTBat!$G$10:$AN$184,CG$9,FALSE)-AF53)</f>
        <v>-1</v>
      </c>
      <c r="CH53" s="91">
        <f>IF(AG53="-","-",VLOOKUP($G53,CTBat!$G$10:$AN$184,CH$9,FALSE)-AG53)</f>
        <v>0</v>
      </c>
      <c r="CI53" s="91">
        <f>IF(AH53="-","-",VLOOKUP($G53,CTBat!$G$10:$AN$184,CI$9,FALSE)-AH53)</f>
        <v>0</v>
      </c>
      <c r="CJ53" s="91">
        <f>IF(AI53="-","-",VLOOKUP($G53,CTBat!$G$10:$AN$184,CJ$9,FALSE)-AI53)</f>
        <v>0</v>
      </c>
      <c r="CK53" s="91" t="str">
        <f>IF(AJ53="-","-",VLOOKUP($G53,CTBat!$G$10:$AN$184,CK$9,FALSE)-AJ53)</f>
        <v>-</v>
      </c>
      <c r="CL53" s="91" t="str">
        <f>IF(AK53="-","-",VLOOKUP($G53,CTBat!$G$10:$AN$184,CL$9,FALSE)-AK53)</f>
        <v>-</v>
      </c>
      <c r="CM53" s="91">
        <f>IF(AL53="-","-",VLOOKUP($G53,CTBat!$G$10:$AN$184,CM$9,FALSE)-AL53)</f>
        <v>0</v>
      </c>
      <c r="CN53" s="91">
        <f>IF(AM53="-","-",VLOOKUP($G53,CTBat!$G$10:$AN$184,CN$9,FALSE)-AM53)</f>
        <v>0</v>
      </c>
      <c r="CO53" s="91">
        <f>IF(AN53="-","-",VLOOKUP($G53,CTBat!$G$10:$AN$184,CO$9,FALSE)-AN53)</f>
        <v>0</v>
      </c>
      <c r="CP53" s="91">
        <f t="shared" si="78"/>
        <v>1</v>
      </c>
      <c r="CQ53" s="91">
        <f t="shared" si="79"/>
        <v>0</v>
      </c>
      <c r="CR53" s="91">
        <f t="shared" si="80"/>
        <v>-2</v>
      </c>
      <c r="CS53" s="91">
        <f t="shared" si="81"/>
        <v>0</v>
      </c>
      <c r="CT53" s="91">
        <f t="shared" si="82"/>
        <v>-1</v>
      </c>
    </row>
    <row r="54" spans="1:98">
      <c r="C54">
        <f t="shared" si="48"/>
        <v>7</v>
      </c>
      <c r="D54" t="str">
        <f t="shared" si="49"/>
        <v>-</v>
      </c>
      <c r="E54" t="str">
        <f t="shared" si="50"/>
        <v>K</v>
      </c>
      <c r="F54" t="s">
        <v>97</v>
      </c>
      <c r="G54" t="s">
        <v>525</v>
      </c>
      <c r="H54" t="s">
        <v>370</v>
      </c>
      <c r="I54" t="s">
        <v>316</v>
      </c>
      <c r="J54">
        <v>22</v>
      </c>
      <c r="K54" t="s">
        <v>104</v>
      </c>
      <c r="L54" t="s">
        <v>104</v>
      </c>
      <c r="M54" t="s">
        <v>47</v>
      </c>
      <c r="N54" s="240" t="s">
        <v>47</v>
      </c>
      <c r="O54" t="s">
        <v>223</v>
      </c>
      <c r="P54" s="240" t="s">
        <v>224</v>
      </c>
      <c r="Q54">
        <v>4</v>
      </c>
      <c r="R54">
        <v>3</v>
      </c>
      <c r="S54">
        <v>3</v>
      </c>
      <c r="T54">
        <v>2</v>
      </c>
      <c r="U54" s="240">
        <v>2</v>
      </c>
      <c r="V54">
        <v>5</v>
      </c>
      <c r="W54">
        <v>4</v>
      </c>
      <c r="X54">
        <v>7</v>
      </c>
      <c r="Y54">
        <v>4</v>
      </c>
      <c r="Z54" s="240">
        <v>4</v>
      </c>
      <c r="AA54">
        <v>7</v>
      </c>
      <c r="AB54">
        <v>5</v>
      </c>
      <c r="AC54">
        <v>1</v>
      </c>
      <c r="AD54" t="s">
        <v>41</v>
      </c>
      <c r="AE54" t="s">
        <v>41</v>
      </c>
      <c r="AF54" t="s">
        <v>41</v>
      </c>
      <c r="AG54" t="s">
        <v>41</v>
      </c>
      <c r="AH54">
        <v>6</v>
      </c>
      <c r="AI54" t="s">
        <v>41</v>
      </c>
      <c r="AJ54" t="s">
        <v>41</v>
      </c>
      <c r="AK54" s="240" t="s">
        <v>41</v>
      </c>
      <c r="AL54">
        <v>10</v>
      </c>
      <c r="AM54">
        <v>8</v>
      </c>
      <c r="AN54" s="240">
        <v>8</v>
      </c>
      <c r="AO54" t="s">
        <v>41</v>
      </c>
      <c r="AP54" s="240">
        <v>0</v>
      </c>
      <c r="AQ54" s="6">
        <f t="shared" si="51"/>
        <v>2</v>
      </c>
      <c r="AR54" s="9" t="str">
        <f t="shared" si="52"/>
        <v>Minors</v>
      </c>
      <c r="AS54" s="6">
        <f t="shared" si="53"/>
        <v>4.833333333333333</v>
      </c>
      <c r="AT54" s="6" t="str">
        <f t="shared" si="54"/>
        <v>Bench</v>
      </c>
      <c r="AU54" s="9">
        <f t="shared" si="55"/>
        <v>4.833333333333333</v>
      </c>
      <c r="AV54" s="9" t="str">
        <f t="shared" si="56"/>
        <v>Bench</v>
      </c>
      <c r="AW54" s="53">
        <f t="shared" si="57"/>
        <v>0</v>
      </c>
      <c r="AX54" s="239">
        <f t="shared" si="58"/>
        <v>0</v>
      </c>
      <c r="AY54" s="239">
        <f t="shared" si="59"/>
        <v>0</v>
      </c>
      <c r="AZ54" s="239">
        <f t="shared" si="60"/>
        <v>0</v>
      </c>
      <c r="BA54" s="239">
        <f t="shared" si="61"/>
        <v>0</v>
      </c>
      <c r="BB54" s="239">
        <f t="shared" si="62"/>
        <v>0</v>
      </c>
      <c r="BC54" s="239">
        <f t="shared" si="63"/>
        <v>0</v>
      </c>
      <c r="BD54" s="239">
        <f t="shared" si="64"/>
        <v>0</v>
      </c>
      <c r="BE54" s="240">
        <f t="shared" si="65"/>
        <v>0</v>
      </c>
      <c r="BF54" s="53">
        <f t="shared" si="66"/>
        <v>0</v>
      </c>
      <c r="BG54" s="239">
        <f t="shared" si="67"/>
        <v>0</v>
      </c>
      <c r="BH54" s="239">
        <f t="shared" si="68"/>
        <v>0</v>
      </c>
      <c r="BI54" s="239">
        <f t="shared" si="69"/>
        <v>0</v>
      </c>
      <c r="BJ54" s="239">
        <f t="shared" si="70"/>
        <v>0</v>
      </c>
      <c r="BK54" s="239">
        <f t="shared" si="71"/>
        <v>0</v>
      </c>
      <c r="BL54" s="239">
        <f t="shared" si="72"/>
        <v>1</v>
      </c>
      <c r="BM54" s="239">
        <f t="shared" si="73"/>
        <v>1</v>
      </c>
      <c r="BN54" s="240">
        <f t="shared" si="74"/>
        <v>1</v>
      </c>
      <c r="BO54" s="240">
        <f t="shared" si="75"/>
        <v>4</v>
      </c>
      <c r="BP54" s="7">
        <f t="shared" si="76"/>
        <v>1</v>
      </c>
      <c r="BQ54" t="str">
        <f t="shared" si="77"/>
        <v/>
      </c>
      <c r="BR54" s="91">
        <f>IF(Q54="-","-",VLOOKUP($G54,CTBat!$G$10:$AN$184,BR$9,FALSE)-Q54)</f>
        <v>0</v>
      </c>
      <c r="BS54" s="91">
        <f>IF(R54="-","-",VLOOKUP($G54,CTBat!$G$10:$AN$184,BS$9,FALSE)-R54)</f>
        <v>0</v>
      </c>
      <c r="BT54" s="91">
        <f>IF(S54="-","-",VLOOKUP($G54,CTBat!$G$10:$AN$184,BT$9,FALSE)-S54)</f>
        <v>0</v>
      </c>
      <c r="BU54" s="91">
        <f>IF(T54="-","-",VLOOKUP($G54,CTBat!$G$10:$AN$184,BU$9,FALSE)-T54)</f>
        <v>1</v>
      </c>
      <c r="BV54" s="91">
        <f>IF(U54="-","-",VLOOKUP($G54,CTBat!$G$10:$AN$184,BV$9,FALSE)-U54)</f>
        <v>0</v>
      </c>
      <c r="BW54" s="91">
        <f>IF(V54="-","-",VLOOKUP($G54,CTBat!$G$10:$AN$184,BW$9,FALSE)-V54)</f>
        <v>0</v>
      </c>
      <c r="BX54" s="91">
        <f>IF(W54="-","-",VLOOKUP($G54,CTBat!$G$10:$AN$184,BX$9,FALSE)-W54)</f>
        <v>-1</v>
      </c>
      <c r="BY54" s="91">
        <f>IF(X54="-","-",VLOOKUP($G54,CTBat!$G$10:$AN$184,BY$9,FALSE)-X54)</f>
        <v>-1</v>
      </c>
      <c r="BZ54" s="91">
        <f>IF(Y54="-","-",VLOOKUP($G54,CTBat!$G$10:$AN$184,BZ$9,FALSE)-Y54)</f>
        <v>1</v>
      </c>
      <c r="CA54" s="91">
        <f>IF(Z54="-","-",VLOOKUP($G54,CTBat!$G$10:$AN$184,CA$9,FALSE)-Z54)</f>
        <v>-1</v>
      </c>
      <c r="CB54" s="91">
        <f>IF(AA54="-","-",VLOOKUP($G54,CTBat!$G$10:$AN$184,CB$9,FALSE)-AA54)</f>
        <v>0</v>
      </c>
      <c r="CC54" s="91">
        <f>IF(AB54="-","-",VLOOKUP($G54,CTBat!$G$10:$AN$184,CC$9,FALSE)-AB54)</f>
        <v>0</v>
      </c>
      <c r="CD54" s="91">
        <f>IF(AC54="-","-",VLOOKUP($G54,CTBat!$G$10:$AN$184,CD$9,FALSE)-AC54)</f>
        <v>0</v>
      </c>
      <c r="CE54" s="91" t="str">
        <f>IF(AD54="-","-",VLOOKUP($G54,CTBat!$G$10:$AN$184,CE$9,FALSE)-AD54)</f>
        <v>-</v>
      </c>
      <c r="CF54" s="91" t="str">
        <f>IF(AE54="-","-",VLOOKUP($G54,CTBat!$G$10:$AN$184,CF$9,FALSE)-AE54)</f>
        <v>-</v>
      </c>
      <c r="CG54" s="91" t="str">
        <f>IF(AF54="-","-",VLOOKUP($G54,CTBat!$G$10:$AN$184,CG$9,FALSE)-AF54)</f>
        <v>-</v>
      </c>
      <c r="CH54" s="91" t="str">
        <f>IF(AG54="-","-",VLOOKUP($G54,CTBat!$G$10:$AN$184,CH$9,FALSE)-AG54)</f>
        <v>-</v>
      </c>
      <c r="CI54" s="91">
        <f>IF(AH54="-","-",VLOOKUP($G54,CTBat!$G$10:$AN$184,CI$9,FALSE)-AH54)</f>
        <v>0</v>
      </c>
      <c r="CJ54" s="91" t="str">
        <f>IF(AI54="-","-",VLOOKUP($G54,CTBat!$G$10:$AN$184,CJ$9,FALSE)-AI54)</f>
        <v>-</v>
      </c>
      <c r="CK54" s="91" t="str">
        <f>IF(AJ54="-","-",VLOOKUP($G54,CTBat!$G$10:$AN$184,CK$9,FALSE)-AJ54)</f>
        <v>-</v>
      </c>
      <c r="CL54" s="91" t="str">
        <f>IF(AK54="-","-",VLOOKUP($G54,CTBat!$G$10:$AN$184,CL$9,FALSE)-AK54)</f>
        <v>-</v>
      </c>
      <c r="CM54" s="91">
        <f>IF(AL54="-","-",VLOOKUP($G54,CTBat!$G$10:$AN$184,CM$9,FALSE)-AL54)</f>
        <v>0</v>
      </c>
      <c r="CN54" s="91">
        <f>IF(AM54="-","-",VLOOKUP($G54,CTBat!$G$10:$AN$184,CN$9,FALSE)-AM54)</f>
        <v>0</v>
      </c>
      <c r="CO54" s="91">
        <f>IF(AN54="-","-",VLOOKUP($G54,CTBat!$G$10:$AN$184,CO$9,FALSE)-AN54)</f>
        <v>0</v>
      </c>
      <c r="CP54" s="91">
        <f t="shared" si="78"/>
        <v>1</v>
      </c>
      <c r="CQ54" s="91">
        <f t="shared" si="79"/>
        <v>-2</v>
      </c>
      <c r="CR54" s="91">
        <f t="shared" si="80"/>
        <v>0</v>
      </c>
      <c r="CS54" s="91">
        <f t="shared" si="81"/>
        <v>0</v>
      </c>
      <c r="CT54" s="91">
        <f t="shared" si="82"/>
        <v>-1</v>
      </c>
    </row>
    <row r="55" spans="1:98">
      <c r="C55">
        <f t="shared" si="48"/>
        <v>2</v>
      </c>
      <c r="D55">
        <f t="shared" si="49"/>
        <v>2</v>
      </c>
      <c r="E55" t="str">
        <f t="shared" si="50"/>
        <v>K</v>
      </c>
      <c r="F55" t="s">
        <v>96</v>
      </c>
      <c r="G55" t="s">
        <v>413</v>
      </c>
      <c r="H55" t="s">
        <v>371</v>
      </c>
      <c r="I55" t="s">
        <v>208</v>
      </c>
      <c r="J55">
        <v>28</v>
      </c>
      <c r="K55" t="s">
        <v>104</v>
      </c>
      <c r="L55" t="s">
        <v>104</v>
      </c>
      <c r="M55" t="s">
        <v>47</v>
      </c>
      <c r="N55" s="266" t="s">
        <v>47</v>
      </c>
      <c r="O55" t="s">
        <v>224</v>
      </c>
      <c r="P55" s="266" t="s">
        <v>226</v>
      </c>
      <c r="Q55">
        <v>5</v>
      </c>
      <c r="R55">
        <v>7</v>
      </c>
      <c r="S55">
        <v>2</v>
      </c>
      <c r="T55">
        <v>8</v>
      </c>
      <c r="U55" s="266">
        <v>4</v>
      </c>
      <c r="V55">
        <v>5</v>
      </c>
      <c r="W55">
        <v>7</v>
      </c>
      <c r="X55">
        <v>2</v>
      </c>
      <c r="Y55">
        <v>8</v>
      </c>
      <c r="Z55" s="266">
        <v>4</v>
      </c>
      <c r="AA55">
        <v>4</v>
      </c>
      <c r="AB55">
        <v>2</v>
      </c>
      <c r="AC55">
        <v>1</v>
      </c>
      <c r="AD55" t="s">
        <v>41</v>
      </c>
      <c r="AE55">
        <v>10</v>
      </c>
      <c r="AF55">
        <v>8</v>
      </c>
      <c r="AG55">
        <v>7</v>
      </c>
      <c r="AH55">
        <v>7</v>
      </c>
      <c r="AI55">
        <v>1</v>
      </c>
      <c r="AJ55" t="s">
        <v>41</v>
      </c>
      <c r="AK55" s="266" t="s">
        <v>41</v>
      </c>
      <c r="AL55">
        <v>6</v>
      </c>
      <c r="AM55">
        <v>5</v>
      </c>
      <c r="AN55" s="266">
        <v>5</v>
      </c>
      <c r="AO55" s="85">
        <v>490000</v>
      </c>
      <c r="AP55" s="266" t="s">
        <v>45</v>
      </c>
      <c r="AQ55" s="6">
        <f t="shared" si="51"/>
        <v>4.5</v>
      </c>
      <c r="AR55" s="9" t="str">
        <f t="shared" si="52"/>
        <v>Bench</v>
      </c>
      <c r="AS55" s="6">
        <f t="shared" si="53"/>
        <v>4.5</v>
      </c>
      <c r="AT55" s="6" t="str">
        <f t="shared" si="54"/>
        <v>Bench</v>
      </c>
      <c r="AU55" s="9">
        <f t="shared" si="55"/>
        <v>4.5</v>
      </c>
      <c r="AV55" s="9" t="str">
        <f t="shared" si="56"/>
        <v>Bench</v>
      </c>
      <c r="AW55" s="53">
        <f t="shared" si="57"/>
        <v>0</v>
      </c>
      <c r="AX55" s="265">
        <f t="shared" si="58"/>
        <v>1</v>
      </c>
      <c r="AY55" s="265">
        <f t="shared" si="59"/>
        <v>0</v>
      </c>
      <c r="AZ55" s="265">
        <f t="shared" si="60"/>
        <v>0</v>
      </c>
      <c r="BA55" s="265">
        <f t="shared" si="61"/>
        <v>0</v>
      </c>
      <c r="BB55" s="265">
        <f t="shared" si="62"/>
        <v>0</v>
      </c>
      <c r="BC55" s="265">
        <f t="shared" si="63"/>
        <v>1</v>
      </c>
      <c r="BD55" s="265">
        <f t="shared" si="64"/>
        <v>1</v>
      </c>
      <c r="BE55" s="266">
        <f t="shared" si="65"/>
        <v>1</v>
      </c>
      <c r="BF55" s="53">
        <f t="shared" si="66"/>
        <v>0</v>
      </c>
      <c r="BG55" s="265">
        <f t="shared" si="67"/>
        <v>1</v>
      </c>
      <c r="BH55" s="265">
        <f t="shared" si="68"/>
        <v>0</v>
      </c>
      <c r="BI55" s="265">
        <f t="shared" si="69"/>
        <v>0</v>
      </c>
      <c r="BJ55" s="265">
        <f t="shared" si="70"/>
        <v>0</v>
      </c>
      <c r="BK55" s="265">
        <f t="shared" si="71"/>
        <v>0</v>
      </c>
      <c r="BL55" s="265">
        <f t="shared" si="72"/>
        <v>1</v>
      </c>
      <c r="BM55" s="265">
        <f t="shared" si="73"/>
        <v>1</v>
      </c>
      <c r="BN55" s="266">
        <f t="shared" si="74"/>
        <v>1</v>
      </c>
      <c r="BO55" s="266">
        <f t="shared" si="75"/>
        <v>0</v>
      </c>
      <c r="BP55" s="7">
        <f t="shared" si="76"/>
        <v>2</v>
      </c>
      <c r="BQ55" t="str">
        <f t="shared" si="77"/>
        <v/>
      </c>
      <c r="BR55" s="91">
        <f>IF(Q55="-","-",VLOOKUP($G55,CTBat!$G$10:$AN$184,BR$9,FALSE)-Q55)</f>
        <v>0</v>
      </c>
      <c r="BS55" s="91">
        <f>IF(R55="-","-",VLOOKUP($G55,CTBat!$G$10:$AN$184,BS$9,FALSE)-R55)</f>
        <v>0</v>
      </c>
      <c r="BT55" s="91">
        <f>IF(S55="-","-",VLOOKUP($G55,CTBat!$G$10:$AN$184,BT$9,FALSE)-S55)</f>
        <v>0</v>
      </c>
      <c r="BU55" s="91">
        <f>IF(T55="-","-",VLOOKUP($G55,CTBat!$G$10:$AN$184,BU$9,FALSE)-T55)</f>
        <v>0</v>
      </c>
      <c r="BV55" s="91">
        <f>IF(U55="-","-",VLOOKUP($G55,CTBat!$G$10:$AN$184,BV$9,FALSE)-U55)</f>
        <v>0</v>
      </c>
      <c r="BW55" s="91">
        <f>IF(V55="-","-",VLOOKUP($G55,CTBat!$G$10:$AN$184,BW$9,FALSE)-V55)</f>
        <v>0</v>
      </c>
      <c r="BX55" s="91">
        <f>IF(W55="-","-",VLOOKUP($G55,CTBat!$G$10:$AN$184,BX$9,FALSE)-W55)</f>
        <v>0</v>
      </c>
      <c r="BY55" s="91">
        <f>IF(X55="-","-",VLOOKUP($G55,CTBat!$G$10:$AN$184,BY$9,FALSE)-X55)</f>
        <v>0</v>
      </c>
      <c r="BZ55" s="91">
        <f>IF(Y55="-","-",VLOOKUP($G55,CTBat!$G$10:$AN$184,BZ$9,FALSE)-Y55)</f>
        <v>1</v>
      </c>
      <c r="CA55" s="91">
        <f>IF(Z55="-","-",VLOOKUP($G55,CTBat!$G$10:$AN$184,CA$9,FALSE)-Z55)</f>
        <v>0</v>
      </c>
      <c r="CB55" s="91">
        <f>IF(AA55="-","-",VLOOKUP($G55,CTBat!$G$10:$AN$184,CB$9,FALSE)-AA55)</f>
        <v>0</v>
      </c>
      <c r="CC55" s="91">
        <f>IF(AB55="-","-",VLOOKUP($G55,CTBat!$G$10:$AN$184,CC$9,FALSE)-AB55)</f>
        <v>0</v>
      </c>
      <c r="CD55" s="91">
        <f>IF(AC55="-","-",VLOOKUP($G55,CTBat!$G$10:$AN$184,CD$9,FALSE)-AC55)</f>
        <v>0</v>
      </c>
      <c r="CE55" s="91" t="str">
        <f>IF(AD55="-","-",VLOOKUP($G55,CTBat!$G$10:$AN$184,CE$9,FALSE)-AD55)</f>
        <v>-</v>
      </c>
      <c r="CF55" s="91">
        <f>IF(AE55="-","-",VLOOKUP($G55,CTBat!$G$10:$AN$184,CF$9,FALSE)-AE55)</f>
        <v>0</v>
      </c>
      <c r="CG55" s="91">
        <f>IF(AF55="-","-",VLOOKUP($G55,CTBat!$G$10:$AN$184,CG$9,FALSE)-AF55)</f>
        <v>0</v>
      </c>
      <c r="CH55" s="91">
        <f>IF(AG55="-","-",VLOOKUP($G55,CTBat!$G$10:$AN$184,CH$9,FALSE)-AG55)</f>
        <v>0</v>
      </c>
      <c r="CI55" s="91">
        <f>IF(AH55="-","-",VLOOKUP($G55,CTBat!$G$10:$AN$184,CI$9,FALSE)-AH55)</f>
        <v>0</v>
      </c>
      <c r="CJ55" s="91">
        <f>IF(AI55="-","-",VLOOKUP($G55,CTBat!$G$10:$AN$184,CJ$9,FALSE)-AI55)</f>
        <v>0</v>
      </c>
      <c r="CK55" s="91" t="str">
        <f>IF(AJ55="-","-",VLOOKUP($G55,CTBat!$G$10:$AN$184,CK$9,FALSE)-AJ55)</f>
        <v>-</v>
      </c>
      <c r="CL55" s="91" t="str">
        <f>IF(AK55="-","-",VLOOKUP($G55,CTBat!$G$10:$AN$184,CL$9,FALSE)-AK55)</f>
        <v>-</v>
      </c>
      <c r="CM55" s="91">
        <f>IF(AL55="-","-",VLOOKUP($G55,CTBat!$G$10:$AN$184,CM$9,FALSE)-AL55)</f>
        <v>-1</v>
      </c>
      <c r="CN55" s="91">
        <f>IF(AM55="-","-",VLOOKUP($G55,CTBat!$G$10:$AN$184,CN$9,FALSE)-AM55)</f>
        <v>-1</v>
      </c>
      <c r="CO55" s="91">
        <f>IF(AN55="-","-",VLOOKUP($G55,CTBat!$G$10:$AN$184,CO$9,FALSE)-AN55)</f>
        <v>0</v>
      </c>
      <c r="CP55" s="91">
        <f t="shared" si="78"/>
        <v>0</v>
      </c>
      <c r="CQ55" s="91">
        <f t="shared" si="79"/>
        <v>1</v>
      </c>
      <c r="CR55" s="91">
        <f t="shared" si="80"/>
        <v>0</v>
      </c>
      <c r="CS55" s="91">
        <f t="shared" si="81"/>
        <v>-2</v>
      </c>
      <c r="CT55" s="91">
        <f t="shared" si="82"/>
        <v>-1</v>
      </c>
    </row>
    <row r="56" spans="1:98">
      <c r="A56" s="91"/>
      <c r="B56" s="91"/>
      <c r="C56" s="91">
        <f t="shared" si="48"/>
        <v>8</v>
      </c>
      <c r="D56" s="91">
        <f t="shared" si="49"/>
        <v>8</v>
      </c>
      <c r="E56" s="91" t="str">
        <f t="shared" si="50"/>
        <v>K</v>
      </c>
      <c r="F56" s="91" t="s">
        <v>94</v>
      </c>
      <c r="G56" s="91" t="s">
        <v>232</v>
      </c>
      <c r="H56" s="91" t="s">
        <v>373</v>
      </c>
      <c r="I56" s="91" t="s">
        <v>210</v>
      </c>
      <c r="J56" s="91">
        <v>23</v>
      </c>
      <c r="K56" s="91" t="s">
        <v>104</v>
      </c>
      <c r="L56" s="91" t="s">
        <v>104</v>
      </c>
      <c r="M56" s="91" t="s">
        <v>47</v>
      </c>
      <c r="N56" s="328" t="s">
        <v>47</v>
      </c>
      <c r="O56" s="91" t="s">
        <v>226</v>
      </c>
      <c r="P56" s="328" t="s">
        <v>223</v>
      </c>
      <c r="Q56" s="91">
        <v>5</v>
      </c>
      <c r="R56" s="91">
        <v>8</v>
      </c>
      <c r="S56" s="91">
        <v>3</v>
      </c>
      <c r="T56" s="91">
        <v>4</v>
      </c>
      <c r="U56" s="328">
        <v>4</v>
      </c>
      <c r="V56" s="91">
        <v>6</v>
      </c>
      <c r="W56" s="91">
        <v>8</v>
      </c>
      <c r="X56" s="91">
        <v>3</v>
      </c>
      <c r="Y56" s="91">
        <v>4</v>
      </c>
      <c r="Z56" s="328">
        <v>5</v>
      </c>
      <c r="AA56" s="91">
        <v>3</v>
      </c>
      <c r="AB56" s="91">
        <v>4</v>
      </c>
      <c r="AC56" s="91">
        <v>1</v>
      </c>
      <c r="AD56" s="91" t="s">
        <v>41</v>
      </c>
      <c r="AE56" s="91">
        <v>6</v>
      </c>
      <c r="AF56" s="91" t="s">
        <v>41</v>
      </c>
      <c r="AG56" s="91" t="s">
        <v>41</v>
      </c>
      <c r="AH56" s="91" t="s">
        <v>41</v>
      </c>
      <c r="AI56" s="91" t="s">
        <v>41</v>
      </c>
      <c r="AJ56" s="91" t="s">
        <v>41</v>
      </c>
      <c r="AK56" s="328" t="s">
        <v>41</v>
      </c>
      <c r="AL56" s="91">
        <v>2</v>
      </c>
      <c r="AM56" s="91">
        <v>1</v>
      </c>
      <c r="AN56" s="328">
        <v>1</v>
      </c>
      <c r="AO56" s="92" t="s">
        <v>41</v>
      </c>
      <c r="AP56" s="328">
        <v>0</v>
      </c>
      <c r="AQ56" s="93">
        <f t="shared" si="51"/>
        <v>3.5</v>
      </c>
      <c r="AR56" s="94" t="str">
        <f t="shared" si="52"/>
        <v>Minors</v>
      </c>
      <c r="AS56" s="93">
        <f t="shared" si="53"/>
        <v>4.333333333333333</v>
      </c>
      <c r="AT56" s="93" t="str">
        <f t="shared" si="54"/>
        <v>Bench</v>
      </c>
      <c r="AU56" s="94">
        <f t="shared" si="55"/>
        <v>4.333333333333333</v>
      </c>
      <c r="AV56" s="94" t="str">
        <f t="shared" si="56"/>
        <v>Bench</v>
      </c>
      <c r="AW56" s="326">
        <f t="shared" si="57"/>
        <v>0</v>
      </c>
      <c r="AX56" s="327">
        <f t="shared" si="58"/>
        <v>0</v>
      </c>
      <c r="AY56" s="327">
        <f t="shared" si="59"/>
        <v>0</v>
      </c>
      <c r="AZ56" s="327">
        <f t="shared" si="60"/>
        <v>0</v>
      </c>
      <c r="BA56" s="327">
        <f t="shared" si="61"/>
        <v>0</v>
      </c>
      <c r="BB56" s="327">
        <f t="shared" si="62"/>
        <v>0</v>
      </c>
      <c r="BC56" s="327">
        <f t="shared" si="63"/>
        <v>0</v>
      </c>
      <c r="BD56" s="327">
        <f t="shared" si="64"/>
        <v>1</v>
      </c>
      <c r="BE56" s="328">
        <f t="shared" si="65"/>
        <v>1</v>
      </c>
      <c r="BF56" s="326">
        <f t="shared" si="66"/>
        <v>0</v>
      </c>
      <c r="BG56" s="327">
        <f t="shared" si="67"/>
        <v>0</v>
      </c>
      <c r="BH56" s="327">
        <f t="shared" si="68"/>
        <v>0</v>
      </c>
      <c r="BI56" s="327">
        <f t="shared" si="69"/>
        <v>0</v>
      </c>
      <c r="BJ56" s="327">
        <f t="shared" si="70"/>
        <v>0</v>
      </c>
      <c r="BK56" s="327">
        <f t="shared" si="71"/>
        <v>0</v>
      </c>
      <c r="BL56" s="327">
        <f t="shared" si="72"/>
        <v>0</v>
      </c>
      <c r="BM56" s="327">
        <f t="shared" si="73"/>
        <v>1</v>
      </c>
      <c r="BN56" s="328">
        <f t="shared" si="74"/>
        <v>1</v>
      </c>
      <c r="BO56" s="328">
        <f t="shared" si="75"/>
        <v>0</v>
      </c>
      <c r="BP56" s="96">
        <f t="shared" si="76"/>
        <v>1</v>
      </c>
      <c r="BQ56" s="91" t="str">
        <f t="shared" si="77"/>
        <v/>
      </c>
      <c r="BR56" s="91">
        <f>IF(Q56="-","-",VLOOKUP($G56,CTBat!$G$10:$AN$184,BR$9,FALSE)-Q56)</f>
        <v>0</v>
      </c>
      <c r="BS56" s="91">
        <f>IF(R56="-","-",VLOOKUP($G56,CTBat!$G$10:$AN$184,BS$9,FALSE)-R56)</f>
        <v>-1</v>
      </c>
      <c r="BT56" s="91">
        <f>IF(S56="-","-",VLOOKUP($G56,CTBat!$G$10:$AN$184,BT$9,FALSE)-S56)</f>
        <v>0</v>
      </c>
      <c r="BU56" s="91">
        <f>IF(T56="-","-",VLOOKUP($G56,CTBat!$G$10:$AN$184,BU$9,FALSE)-T56)</f>
        <v>0</v>
      </c>
      <c r="BV56" s="91">
        <f>IF(U56="-","-",VLOOKUP($G56,CTBat!$G$10:$AN$184,BV$9,FALSE)-U56)</f>
        <v>0</v>
      </c>
      <c r="BW56" s="91">
        <f>IF(V56="-","-",VLOOKUP($G56,CTBat!$G$10:$AN$184,BW$9,FALSE)-V56)</f>
        <v>0</v>
      </c>
      <c r="BX56" s="91">
        <f>IF(W56="-","-",VLOOKUP($G56,CTBat!$G$10:$AN$184,BX$9,FALSE)-W56)</f>
        <v>-1</v>
      </c>
      <c r="BY56" s="91">
        <f>IF(X56="-","-",VLOOKUP($G56,CTBat!$G$10:$AN$184,BY$9,FALSE)-X56)</f>
        <v>0</v>
      </c>
      <c r="BZ56" s="91">
        <f>IF(Y56="-","-",VLOOKUP($G56,CTBat!$G$10:$AN$184,BZ$9,FALSE)-Y56)</f>
        <v>1</v>
      </c>
      <c r="CA56" s="91">
        <f>IF(Z56="-","-",VLOOKUP($G56,CTBat!$G$10:$AN$184,CA$9,FALSE)-Z56)</f>
        <v>0</v>
      </c>
      <c r="CB56" s="91">
        <f>IF(AA56="-","-",VLOOKUP($G56,CTBat!$G$10:$AN$184,CB$9,FALSE)-AA56)</f>
        <v>0</v>
      </c>
      <c r="CC56" s="91">
        <f>IF(AB56="-","-",VLOOKUP($G56,CTBat!$G$10:$AN$184,CC$9,FALSE)-AB56)</f>
        <v>0</v>
      </c>
      <c r="CD56" s="91">
        <f>IF(AC56="-","-",VLOOKUP($G56,CTBat!$G$10:$AN$184,CD$9,FALSE)-AC56)</f>
        <v>0</v>
      </c>
      <c r="CE56" s="91" t="str">
        <f>IF(AD56="-","-",VLOOKUP($G56,CTBat!$G$10:$AN$184,CE$9,FALSE)-AD56)</f>
        <v>-</v>
      </c>
      <c r="CF56" s="91">
        <f>IF(AE56="-","-",VLOOKUP($G56,CTBat!$G$10:$AN$184,CF$9,FALSE)-AE56)</f>
        <v>0</v>
      </c>
      <c r="CG56" s="91" t="str">
        <f>IF(AF56="-","-",VLOOKUP($G56,CTBat!$G$10:$AN$184,CG$9,FALSE)-AF56)</f>
        <v>-</v>
      </c>
      <c r="CH56" s="91" t="str">
        <f>IF(AG56="-","-",VLOOKUP($G56,CTBat!$G$10:$AN$184,CH$9,FALSE)-AG56)</f>
        <v>-</v>
      </c>
      <c r="CI56" s="91" t="str">
        <f>IF(AH56="-","-",VLOOKUP($G56,CTBat!$G$10:$AN$184,CI$9,FALSE)-AH56)</f>
        <v>-</v>
      </c>
      <c r="CJ56" s="91" t="str">
        <f>IF(AI56="-","-",VLOOKUP($G56,CTBat!$G$10:$AN$184,CJ$9,FALSE)-AI56)</f>
        <v>-</v>
      </c>
      <c r="CK56" s="91" t="str">
        <f>IF(AJ56="-","-",VLOOKUP($G56,CTBat!$G$10:$AN$184,CK$9,FALSE)-AJ56)</f>
        <v>-</v>
      </c>
      <c r="CL56" s="91" t="str">
        <f>IF(AK56="-","-",VLOOKUP($G56,CTBat!$G$10:$AN$184,CL$9,FALSE)-AK56)</f>
        <v>-</v>
      </c>
      <c r="CM56" s="91">
        <f>IF(AL56="-","-",VLOOKUP($G56,CTBat!$G$10:$AN$184,CM$9,FALSE)-AL56)</f>
        <v>0</v>
      </c>
      <c r="CN56" s="91">
        <f>IF(AM56="-","-",VLOOKUP($G56,CTBat!$G$10:$AN$184,CN$9,FALSE)-AM56)</f>
        <v>0</v>
      </c>
      <c r="CO56" s="91">
        <f>IF(AN56="-","-",VLOOKUP($G56,CTBat!$G$10:$AN$184,CO$9,FALSE)-AN56)</f>
        <v>0</v>
      </c>
      <c r="CP56" s="91">
        <f t="shared" si="78"/>
        <v>-1</v>
      </c>
      <c r="CQ56" s="91">
        <f t="shared" si="79"/>
        <v>0</v>
      </c>
      <c r="CR56" s="91">
        <f t="shared" si="80"/>
        <v>0</v>
      </c>
      <c r="CS56" s="91">
        <f t="shared" si="81"/>
        <v>0</v>
      </c>
      <c r="CT56" s="91">
        <f t="shared" si="82"/>
        <v>-1</v>
      </c>
    </row>
    <row r="57" spans="1:98">
      <c r="C57">
        <f t="shared" si="48"/>
        <v>2</v>
      </c>
      <c r="D57">
        <f t="shared" si="49"/>
        <v>2</v>
      </c>
      <c r="E57" t="str">
        <f t="shared" si="50"/>
        <v>K</v>
      </c>
      <c r="F57" t="s">
        <v>98</v>
      </c>
      <c r="G57" t="s">
        <v>53</v>
      </c>
      <c r="H57" t="s">
        <v>25</v>
      </c>
      <c r="I57" t="s">
        <v>207</v>
      </c>
      <c r="J57">
        <v>27</v>
      </c>
      <c r="K57" t="s">
        <v>104</v>
      </c>
      <c r="L57" t="s">
        <v>104</v>
      </c>
      <c r="M57" t="s">
        <v>47</v>
      </c>
      <c r="N57" s="325" t="s">
        <v>47</v>
      </c>
      <c r="O57" t="s">
        <v>224</v>
      </c>
      <c r="P57" s="325" t="s">
        <v>227</v>
      </c>
      <c r="Q57">
        <v>7</v>
      </c>
      <c r="R57">
        <v>6</v>
      </c>
      <c r="S57">
        <v>5</v>
      </c>
      <c r="T57">
        <v>6</v>
      </c>
      <c r="U57" s="325">
        <v>8</v>
      </c>
      <c r="V57">
        <v>7</v>
      </c>
      <c r="W57">
        <v>6</v>
      </c>
      <c r="X57">
        <v>5</v>
      </c>
      <c r="Y57">
        <v>6</v>
      </c>
      <c r="Z57" s="325">
        <v>8</v>
      </c>
      <c r="AA57">
        <v>1</v>
      </c>
      <c r="AB57">
        <v>6</v>
      </c>
      <c r="AC57">
        <v>1</v>
      </c>
      <c r="AD57" t="s">
        <v>41</v>
      </c>
      <c r="AE57" t="s">
        <v>41</v>
      </c>
      <c r="AF57" t="s">
        <v>41</v>
      </c>
      <c r="AG57" t="s">
        <v>41</v>
      </c>
      <c r="AH57" t="s">
        <v>41</v>
      </c>
      <c r="AI57">
        <v>7</v>
      </c>
      <c r="AJ57" t="s">
        <v>41</v>
      </c>
      <c r="AK57" s="325">
        <v>2</v>
      </c>
      <c r="AL57">
        <v>4</v>
      </c>
      <c r="AM57">
        <v>3</v>
      </c>
      <c r="AN57" s="325">
        <v>3</v>
      </c>
      <c r="AO57" s="85">
        <v>490000</v>
      </c>
      <c r="AP57" s="325" t="s">
        <v>45</v>
      </c>
      <c r="AQ57" s="6">
        <f t="shared" si="51"/>
        <v>6.5</v>
      </c>
      <c r="AR57" s="9" t="str">
        <f t="shared" si="52"/>
        <v>Reg</v>
      </c>
      <c r="AS57" s="6">
        <f t="shared" si="53"/>
        <v>6.5</v>
      </c>
      <c r="AT57" s="6" t="str">
        <f t="shared" si="54"/>
        <v>Reg</v>
      </c>
      <c r="AU57" s="9">
        <f t="shared" si="55"/>
        <v>6.5</v>
      </c>
      <c r="AV57" s="9" t="str">
        <f t="shared" si="56"/>
        <v>Reg</v>
      </c>
      <c r="AW57" s="323">
        <f t="shared" si="57"/>
        <v>0</v>
      </c>
      <c r="AX57" s="324">
        <f t="shared" si="58"/>
        <v>1</v>
      </c>
      <c r="AY57" s="324">
        <f t="shared" si="59"/>
        <v>0</v>
      </c>
      <c r="AZ57" s="324">
        <f t="shared" si="60"/>
        <v>0</v>
      </c>
      <c r="BA57" s="324">
        <f t="shared" si="61"/>
        <v>0</v>
      </c>
      <c r="BB57" s="324">
        <f t="shared" si="62"/>
        <v>1</v>
      </c>
      <c r="BC57" s="324">
        <f t="shared" si="63"/>
        <v>1</v>
      </c>
      <c r="BD57" s="324">
        <f t="shared" si="64"/>
        <v>1</v>
      </c>
      <c r="BE57" s="325">
        <f t="shared" si="65"/>
        <v>1</v>
      </c>
      <c r="BF57" s="323">
        <f t="shared" si="66"/>
        <v>0</v>
      </c>
      <c r="BG57" s="324">
        <f t="shared" si="67"/>
        <v>1</v>
      </c>
      <c r="BH57" s="324">
        <f t="shared" si="68"/>
        <v>0</v>
      </c>
      <c r="BI57" s="324">
        <f t="shared" si="69"/>
        <v>0</v>
      </c>
      <c r="BJ57" s="324">
        <f t="shared" si="70"/>
        <v>0</v>
      </c>
      <c r="BK57" s="324">
        <f t="shared" si="71"/>
        <v>1</v>
      </c>
      <c r="BL57" s="324">
        <f t="shared" si="72"/>
        <v>1</v>
      </c>
      <c r="BM57" s="324">
        <f t="shared" si="73"/>
        <v>1</v>
      </c>
      <c r="BN57" s="325">
        <f t="shared" si="74"/>
        <v>1</v>
      </c>
      <c r="BO57" s="325">
        <f t="shared" si="75"/>
        <v>0</v>
      </c>
      <c r="BP57" s="7">
        <f t="shared" si="76"/>
        <v>2</v>
      </c>
      <c r="BQ57" t="str">
        <f t="shared" si="77"/>
        <v/>
      </c>
      <c r="BR57" s="91">
        <f>IF(Q57="-","-",VLOOKUP($G57,CTBat!$G$10:$AN$184,BR$9,FALSE)-Q57)</f>
        <v>0</v>
      </c>
      <c r="BS57" s="91">
        <f>IF(R57="-","-",VLOOKUP($G57,CTBat!$G$10:$AN$184,BS$9,FALSE)-R57)</f>
        <v>0</v>
      </c>
      <c r="BT57" s="91">
        <f>IF(S57="-","-",VLOOKUP($G57,CTBat!$G$10:$AN$184,BT$9,FALSE)-S57)</f>
        <v>0</v>
      </c>
      <c r="BU57" s="91">
        <f>IF(T57="-","-",VLOOKUP($G57,CTBat!$G$10:$AN$184,BU$9,FALSE)-T57)</f>
        <v>-1</v>
      </c>
      <c r="BV57" s="91">
        <f>IF(U57="-","-",VLOOKUP($G57,CTBat!$G$10:$AN$184,BV$9,FALSE)-U57)</f>
        <v>0</v>
      </c>
      <c r="BW57" s="91">
        <f>IF(V57="-","-",VLOOKUP($G57,CTBat!$G$10:$AN$184,BW$9,FALSE)-V57)</f>
        <v>0</v>
      </c>
      <c r="BX57" s="91">
        <f>IF(W57="-","-",VLOOKUP($G57,CTBat!$G$10:$AN$184,BX$9,FALSE)-W57)</f>
        <v>0</v>
      </c>
      <c r="BY57" s="91">
        <f>IF(X57="-","-",VLOOKUP($G57,CTBat!$G$10:$AN$184,BY$9,FALSE)-X57)</f>
        <v>0</v>
      </c>
      <c r="BZ57" s="91">
        <f>IF(Y57="-","-",VLOOKUP($G57,CTBat!$G$10:$AN$184,BZ$9,FALSE)-Y57)</f>
        <v>-1</v>
      </c>
      <c r="CA57" s="91">
        <f>IF(Z57="-","-",VLOOKUP($G57,CTBat!$G$10:$AN$184,CA$9,FALSE)-Z57)</f>
        <v>0</v>
      </c>
      <c r="CB57" s="91">
        <f>IF(AA57="-","-",VLOOKUP($G57,CTBat!$G$10:$AN$184,CB$9,FALSE)-AA57)</f>
        <v>0</v>
      </c>
      <c r="CC57" s="91">
        <f>IF(AB57="-","-",VLOOKUP($G57,CTBat!$G$10:$AN$184,CC$9,FALSE)-AB57)</f>
        <v>0</v>
      </c>
      <c r="CD57" s="91">
        <f>IF(AC57="-","-",VLOOKUP($G57,CTBat!$G$10:$AN$184,CD$9,FALSE)-AC57)</f>
        <v>0</v>
      </c>
      <c r="CE57" s="91" t="str">
        <f>IF(AD57="-","-",VLOOKUP($G57,CTBat!$G$10:$AN$184,CE$9,FALSE)-AD57)</f>
        <v>-</v>
      </c>
      <c r="CF57" s="91" t="str">
        <f>IF(AE57="-","-",VLOOKUP($G57,CTBat!$G$10:$AN$184,CF$9,FALSE)-AE57)</f>
        <v>-</v>
      </c>
      <c r="CG57" s="91" t="str">
        <f>IF(AF57="-","-",VLOOKUP($G57,CTBat!$G$10:$AN$184,CG$9,FALSE)-AF57)</f>
        <v>-</v>
      </c>
      <c r="CH57" s="91" t="str">
        <f>IF(AG57="-","-",VLOOKUP($G57,CTBat!$G$10:$AN$184,CH$9,FALSE)-AG57)</f>
        <v>-</v>
      </c>
      <c r="CI57" s="91" t="str">
        <f>IF(AH57="-","-",VLOOKUP($G57,CTBat!$G$10:$AN$184,CI$9,FALSE)-AH57)</f>
        <v>-</v>
      </c>
      <c r="CJ57" s="91">
        <f>IF(AI57="-","-",VLOOKUP($G57,CTBat!$G$10:$AN$184,CJ$9,FALSE)-AI57)</f>
        <v>1</v>
      </c>
      <c r="CK57" s="91" t="str">
        <f>IF(AJ57="-","-",VLOOKUP($G57,CTBat!$G$10:$AN$184,CK$9,FALSE)-AJ57)</f>
        <v>-</v>
      </c>
      <c r="CL57" s="91">
        <f>IF(AK57="-","-",VLOOKUP($G57,CTBat!$G$10:$AN$184,CL$9,FALSE)-AK57)</f>
        <v>0</v>
      </c>
      <c r="CM57" s="91">
        <f>IF(AL57="-","-",VLOOKUP($G57,CTBat!$G$10:$AN$184,CM$9,FALSE)-AL57)</f>
        <v>-1</v>
      </c>
      <c r="CN57" s="91">
        <f>IF(AM57="-","-",VLOOKUP($G57,CTBat!$G$10:$AN$184,CN$9,FALSE)-AM57)</f>
        <v>0</v>
      </c>
      <c r="CO57" s="91">
        <f>IF(AN57="-","-",VLOOKUP($G57,CTBat!$G$10:$AN$184,CO$9,FALSE)-AN57)</f>
        <v>0</v>
      </c>
      <c r="CP57" s="91">
        <f t="shared" si="78"/>
        <v>-1</v>
      </c>
      <c r="CQ57" s="91">
        <f t="shared" si="79"/>
        <v>-1</v>
      </c>
      <c r="CR57" s="91">
        <f t="shared" si="80"/>
        <v>1</v>
      </c>
      <c r="CS57" s="91">
        <f t="shared" si="81"/>
        <v>-1</v>
      </c>
      <c r="CT57" s="91">
        <f t="shared" si="82"/>
        <v>-2</v>
      </c>
    </row>
    <row r="58" spans="1:98">
      <c r="C58">
        <f t="shared" si="48"/>
        <v>7</v>
      </c>
      <c r="D58">
        <f t="shared" si="49"/>
        <v>7</v>
      </c>
      <c r="E58" t="str">
        <f t="shared" si="50"/>
        <v>K</v>
      </c>
      <c r="F58" t="s">
        <v>94</v>
      </c>
      <c r="G58" t="s">
        <v>449</v>
      </c>
      <c r="H58" t="s">
        <v>25</v>
      </c>
      <c r="I58" t="s">
        <v>207</v>
      </c>
      <c r="J58">
        <v>28</v>
      </c>
      <c r="K58" t="s">
        <v>104</v>
      </c>
      <c r="L58" t="s">
        <v>104</v>
      </c>
      <c r="M58" t="s">
        <v>42</v>
      </c>
      <c r="N58" s="266" t="s">
        <v>42</v>
      </c>
      <c r="O58" t="s">
        <v>225</v>
      </c>
      <c r="P58" s="266" t="s">
        <v>225</v>
      </c>
      <c r="Q58">
        <v>5</v>
      </c>
      <c r="R58">
        <v>9</v>
      </c>
      <c r="S58">
        <v>9</v>
      </c>
      <c r="T58">
        <v>6</v>
      </c>
      <c r="U58" s="266">
        <v>3</v>
      </c>
      <c r="V58">
        <v>5</v>
      </c>
      <c r="W58">
        <v>9</v>
      </c>
      <c r="X58">
        <v>9</v>
      </c>
      <c r="Y58">
        <v>6</v>
      </c>
      <c r="Z58" s="266">
        <v>3</v>
      </c>
      <c r="AA58">
        <v>3</v>
      </c>
      <c r="AB58">
        <v>3</v>
      </c>
      <c r="AC58">
        <v>1</v>
      </c>
      <c r="AD58" t="s">
        <v>41</v>
      </c>
      <c r="AE58">
        <v>6</v>
      </c>
      <c r="AF58" t="s">
        <v>41</v>
      </c>
      <c r="AG58" t="s">
        <v>41</v>
      </c>
      <c r="AH58" t="s">
        <v>41</v>
      </c>
      <c r="AI58" t="s">
        <v>41</v>
      </c>
      <c r="AJ58" t="s">
        <v>41</v>
      </c>
      <c r="AK58" s="266" t="s">
        <v>41</v>
      </c>
      <c r="AL58">
        <v>1</v>
      </c>
      <c r="AM58">
        <v>3</v>
      </c>
      <c r="AN58" s="266">
        <v>3</v>
      </c>
      <c r="AO58">
        <v>490000</v>
      </c>
      <c r="AP58" s="266" t="s">
        <v>45</v>
      </c>
      <c r="AQ58" s="6">
        <f t="shared" si="51"/>
        <v>6.416666666666667</v>
      </c>
      <c r="AR58" s="9" t="str">
        <f t="shared" si="52"/>
        <v>Reg</v>
      </c>
      <c r="AS58" s="6">
        <f t="shared" si="53"/>
        <v>6.416666666666667</v>
      </c>
      <c r="AT58" s="6" t="str">
        <f t="shared" si="54"/>
        <v>Reg</v>
      </c>
      <c r="AU58" s="9">
        <f t="shared" si="55"/>
        <v>6.416666666666667</v>
      </c>
      <c r="AV58" s="9" t="str">
        <f t="shared" si="56"/>
        <v>Reg</v>
      </c>
      <c r="AW58" s="53">
        <f t="shared" si="57"/>
        <v>0</v>
      </c>
      <c r="AX58" s="265">
        <f t="shared" si="58"/>
        <v>0</v>
      </c>
      <c r="AY58" s="265">
        <f t="shared" si="59"/>
        <v>0</v>
      </c>
      <c r="AZ58" s="265">
        <f t="shared" si="60"/>
        <v>0</v>
      </c>
      <c r="BA58" s="265">
        <f t="shared" si="61"/>
        <v>0</v>
      </c>
      <c r="BB58" s="265">
        <f t="shared" si="62"/>
        <v>0</v>
      </c>
      <c r="BC58" s="265">
        <f t="shared" si="63"/>
        <v>1</v>
      </c>
      <c r="BD58" s="265">
        <f t="shared" si="64"/>
        <v>1</v>
      </c>
      <c r="BE58" s="266">
        <f t="shared" si="65"/>
        <v>1</v>
      </c>
      <c r="BF58" s="53">
        <f t="shared" si="66"/>
        <v>0</v>
      </c>
      <c r="BG58" s="265">
        <f t="shared" si="67"/>
        <v>0</v>
      </c>
      <c r="BH58" s="265">
        <f t="shared" si="68"/>
        <v>0</v>
      </c>
      <c r="BI58" s="265">
        <f t="shared" si="69"/>
        <v>0</v>
      </c>
      <c r="BJ58" s="265">
        <f t="shared" si="70"/>
        <v>0</v>
      </c>
      <c r="BK58" s="265">
        <f t="shared" si="71"/>
        <v>0</v>
      </c>
      <c r="BL58" s="265">
        <f t="shared" si="72"/>
        <v>1</v>
      </c>
      <c r="BM58" s="265">
        <f t="shared" si="73"/>
        <v>1</v>
      </c>
      <c r="BN58" s="266">
        <f t="shared" si="74"/>
        <v>1</v>
      </c>
      <c r="BO58" s="266">
        <f t="shared" si="75"/>
        <v>0</v>
      </c>
      <c r="BP58" s="7">
        <f t="shared" si="76"/>
        <v>1</v>
      </c>
      <c r="BQ58" t="str">
        <f t="shared" si="77"/>
        <v/>
      </c>
      <c r="BR58" s="91">
        <f>IF(Q58="-","-",VLOOKUP($G58,CTBat!$G$10:$AN$184,BR$9,FALSE)-Q58)</f>
        <v>0</v>
      </c>
      <c r="BS58" s="91">
        <f>IF(R58="-","-",VLOOKUP($G58,CTBat!$G$10:$AN$184,BS$9,FALSE)-R58)</f>
        <v>0</v>
      </c>
      <c r="BT58" s="91">
        <f>IF(S58="-","-",VLOOKUP($G58,CTBat!$G$10:$AN$184,BT$9,FALSE)-S58)</f>
        <v>-1</v>
      </c>
      <c r="BU58" s="91">
        <f>IF(T58="-","-",VLOOKUP($G58,CTBat!$G$10:$AN$184,BU$9,FALSE)-T58)</f>
        <v>0</v>
      </c>
      <c r="BV58" s="91">
        <f>IF(U58="-","-",VLOOKUP($G58,CTBat!$G$10:$AN$184,BV$9,FALSE)-U58)</f>
        <v>0</v>
      </c>
      <c r="BW58" s="91">
        <f>IF(V58="-","-",VLOOKUP($G58,CTBat!$G$10:$AN$184,BW$9,FALSE)-V58)</f>
        <v>0</v>
      </c>
      <c r="BX58" s="91">
        <f>IF(W58="-","-",VLOOKUP($G58,CTBat!$G$10:$AN$184,BX$9,FALSE)-W58)</f>
        <v>0</v>
      </c>
      <c r="BY58" s="91">
        <f>IF(X58="-","-",VLOOKUP($G58,CTBat!$G$10:$AN$184,BY$9,FALSE)-X58)</f>
        <v>-1</v>
      </c>
      <c r="BZ58" s="91">
        <f>IF(Y58="-","-",VLOOKUP($G58,CTBat!$G$10:$AN$184,BZ$9,FALSE)-Y58)</f>
        <v>0</v>
      </c>
      <c r="CA58" s="91">
        <f>IF(Z58="-","-",VLOOKUP($G58,CTBat!$G$10:$AN$184,CA$9,FALSE)-Z58)</f>
        <v>0</v>
      </c>
      <c r="CB58" s="91">
        <f>IF(AA58="-","-",VLOOKUP($G58,CTBat!$G$10:$AN$184,CB$9,FALSE)-AA58)</f>
        <v>0</v>
      </c>
      <c r="CC58" s="91">
        <f>IF(AB58="-","-",VLOOKUP($G58,CTBat!$G$10:$AN$184,CC$9,FALSE)-AB58)</f>
        <v>0</v>
      </c>
      <c r="CD58" s="91">
        <f>IF(AC58="-","-",VLOOKUP($G58,CTBat!$G$10:$AN$184,CD$9,FALSE)-AC58)</f>
        <v>0</v>
      </c>
      <c r="CE58" s="91" t="str">
        <f>IF(AD58="-","-",VLOOKUP($G58,CTBat!$G$10:$AN$184,CE$9,FALSE)-AD58)</f>
        <v>-</v>
      </c>
      <c r="CF58" s="91">
        <f>IF(AE58="-","-",VLOOKUP($G58,CTBat!$G$10:$AN$184,CF$9,FALSE)-AE58)</f>
        <v>0</v>
      </c>
      <c r="CG58" s="91" t="str">
        <f>IF(AF58="-","-",VLOOKUP($G58,CTBat!$G$10:$AN$184,CG$9,FALSE)-AF58)</f>
        <v>-</v>
      </c>
      <c r="CH58" s="91" t="str">
        <f>IF(AG58="-","-",VLOOKUP($G58,CTBat!$G$10:$AN$184,CH$9,FALSE)-AG58)</f>
        <v>-</v>
      </c>
      <c r="CI58" s="91" t="str">
        <f>IF(AH58="-","-",VLOOKUP($G58,CTBat!$G$10:$AN$184,CI$9,FALSE)-AH58)</f>
        <v>-</v>
      </c>
      <c r="CJ58" s="91" t="str">
        <f>IF(AI58="-","-",VLOOKUP($G58,CTBat!$G$10:$AN$184,CJ$9,FALSE)-AI58)</f>
        <v>-</v>
      </c>
      <c r="CK58" s="91" t="str">
        <f>IF(AJ58="-","-",VLOOKUP($G58,CTBat!$G$10:$AN$184,CK$9,FALSE)-AJ58)</f>
        <v>-</v>
      </c>
      <c r="CL58" s="91" t="str">
        <f>IF(AK58="-","-",VLOOKUP($G58,CTBat!$G$10:$AN$184,CL$9,FALSE)-AK58)</f>
        <v>-</v>
      </c>
      <c r="CM58" s="91">
        <f>IF(AL58="-","-",VLOOKUP($G58,CTBat!$G$10:$AN$184,CM$9,FALSE)-AL58)</f>
        <v>0</v>
      </c>
      <c r="CN58" s="91">
        <f>IF(AM58="-","-",VLOOKUP($G58,CTBat!$G$10:$AN$184,CN$9,FALSE)-AM58)</f>
        <v>0</v>
      </c>
      <c r="CO58" s="91">
        <f>IF(AN58="-","-",VLOOKUP($G58,CTBat!$G$10:$AN$184,CO$9,FALSE)-AN58)</f>
        <v>0</v>
      </c>
      <c r="CP58" s="91">
        <f t="shared" si="78"/>
        <v>-1</v>
      </c>
      <c r="CQ58" s="91">
        <f t="shared" si="79"/>
        <v>-1</v>
      </c>
      <c r="CR58" s="91">
        <f t="shared" si="80"/>
        <v>0</v>
      </c>
      <c r="CS58" s="91">
        <f t="shared" si="81"/>
        <v>0</v>
      </c>
      <c r="CT58" s="91">
        <f t="shared" si="82"/>
        <v>-2</v>
      </c>
    </row>
    <row r="59" spans="1:98">
      <c r="C59" t="str">
        <f t="shared" si="48"/>
        <v>-</v>
      </c>
      <c r="D59" t="str">
        <f t="shared" si="49"/>
        <v>-</v>
      </c>
      <c r="E59" t="str">
        <f t="shared" si="50"/>
        <v>K</v>
      </c>
      <c r="F59" t="s">
        <v>99</v>
      </c>
      <c r="G59" t="s">
        <v>420</v>
      </c>
      <c r="H59" t="s">
        <v>373</v>
      </c>
      <c r="I59" t="s">
        <v>210</v>
      </c>
      <c r="J59">
        <v>23</v>
      </c>
      <c r="K59" t="s">
        <v>104</v>
      </c>
      <c r="L59" t="s">
        <v>104</v>
      </c>
      <c r="M59" t="s">
        <v>47</v>
      </c>
      <c r="N59" s="3" t="s">
        <v>47</v>
      </c>
      <c r="O59" t="s">
        <v>226</v>
      </c>
      <c r="P59" s="3" t="s">
        <v>224</v>
      </c>
      <c r="Q59">
        <v>4</v>
      </c>
      <c r="R59">
        <v>5</v>
      </c>
      <c r="S59">
        <v>1</v>
      </c>
      <c r="T59">
        <v>2</v>
      </c>
      <c r="U59" s="3">
        <v>3</v>
      </c>
      <c r="V59">
        <v>4</v>
      </c>
      <c r="W59">
        <v>5</v>
      </c>
      <c r="X59">
        <v>1</v>
      </c>
      <c r="Y59">
        <v>2</v>
      </c>
      <c r="Z59" s="3">
        <v>4</v>
      </c>
      <c r="AA59">
        <v>1</v>
      </c>
      <c r="AB59">
        <v>6</v>
      </c>
      <c r="AC59">
        <v>1</v>
      </c>
      <c r="AD59" t="s">
        <v>41</v>
      </c>
      <c r="AE59">
        <v>1</v>
      </c>
      <c r="AF59" t="s">
        <v>41</v>
      </c>
      <c r="AG59" t="s">
        <v>41</v>
      </c>
      <c r="AH59" t="s">
        <v>41</v>
      </c>
      <c r="AI59">
        <v>10</v>
      </c>
      <c r="AJ59">
        <v>10</v>
      </c>
      <c r="AK59" s="3">
        <v>9</v>
      </c>
      <c r="AL59">
        <v>6</v>
      </c>
      <c r="AM59">
        <v>7</v>
      </c>
      <c r="AN59" s="3">
        <v>8</v>
      </c>
      <c r="AO59" t="s">
        <v>41</v>
      </c>
      <c r="AP59" s="3">
        <v>0</v>
      </c>
      <c r="AQ59" s="6">
        <f t="shared" si="51"/>
        <v>1.3333333333333335</v>
      </c>
      <c r="AR59" s="9" t="str">
        <f t="shared" si="52"/>
        <v>Minors</v>
      </c>
      <c r="AS59" s="6">
        <f t="shared" si="53"/>
        <v>1.3333333333333335</v>
      </c>
      <c r="AT59" s="6" t="str">
        <f t="shared" si="54"/>
        <v>Minors</v>
      </c>
      <c r="AU59" s="9">
        <f t="shared" si="55"/>
        <v>1.3333333333333335</v>
      </c>
      <c r="AV59" s="9" t="str">
        <f t="shared" si="56"/>
        <v>Minors</v>
      </c>
      <c r="AW59" s="53">
        <f t="shared" si="57"/>
        <v>0</v>
      </c>
      <c r="AX59" s="5">
        <f t="shared" si="58"/>
        <v>0</v>
      </c>
      <c r="AY59" s="5">
        <f t="shared" si="59"/>
        <v>0</v>
      </c>
      <c r="AZ59" s="5">
        <f t="shared" si="60"/>
        <v>0</v>
      </c>
      <c r="BA59" s="5">
        <f t="shared" si="61"/>
        <v>0</v>
      </c>
      <c r="BB59" s="5">
        <f t="shared" si="62"/>
        <v>0</v>
      </c>
      <c r="BC59" s="5">
        <f t="shared" si="63"/>
        <v>0</v>
      </c>
      <c r="BD59" s="5">
        <f t="shared" si="64"/>
        <v>0</v>
      </c>
      <c r="BE59" s="3">
        <f t="shared" si="65"/>
        <v>0</v>
      </c>
      <c r="BF59" s="53">
        <f t="shared" si="66"/>
        <v>0</v>
      </c>
      <c r="BG59" s="5">
        <f t="shared" si="67"/>
        <v>0</v>
      </c>
      <c r="BH59" s="5">
        <f t="shared" si="68"/>
        <v>0</v>
      </c>
      <c r="BI59" s="5">
        <f t="shared" si="69"/>
        <v>0</v>
      </c>
      <c r="BJ59" s="5">
        <f t="shared" si="70"/>
        <v>0</v>
      </c>
      <c r="BK59" s="5">
        <f t="shared" si="71"/>
        <v>0</v>
      </c>
      <c r="BL59" s="5">
        <f t="shared" si="72"/>
        <v>0</v>
      </c>
      <c r="BM59" s="5">
        <f t="shared" si="73"/>
        <v>0</v>
      </c>
      <c r="BN59" s="3">
        <f t="shared" si="74"/>
        <v>0</v>
      </c>
      <c r="BO59" s="3">
        <f t="shared" si="75"/>
        <v>1</v>
      </c>
      <c r="BP59" s="7">
        <f t="shared" si="76"/>
        <v>2</v>
      </c>
      <c r="BQ59" t="str">
        <f t="shared" si="77"/>
        <v/>
      </c>
      <c r="BR59" s="91">
        <f>IF(Q59="-","-",VLOOKUP($G59,CTBat!$G$10:$AN$184,BR$9,FALSE)-Q59)</f>
        <v>-1</v>
      </c>
      <c r="BS59" s="91">
        <f>IF(R59="-","-",VLOOKUP($G59,CTBat!$G$10:$AN$184,BS$9,FALSE)-R59)</f>
        <v>-1</v>
      </c>
      <c r="BT59" s="91">
        <f>IF(S59="-","-",VLOOKUP($G59,CTBat!$G$10:$AN$184,BT$9,FALSE)-S59)</f>
        <v>0</v>
      </c>
      <c r="BU59" s="91">
        <f>IF(T59="-","-",VLOOKUP($G59,CTBat!$G$10:$AN$184,BU$9,FALSE)-T59)</f>
        <v>0</v>
      </c>
      <c r="BV59" s="91">
        <f>IF(U59="-","-",VLOOKUP($G59,CTBat!$G$10:$AN$184,BV$9,FALSE)-U59)</f>
        <v>1</v>
      </c>
      <c r="BW59" s="91">
        <f>IF(V59="-","-",VLOOKUP($G59,CTBat!$G$10:$AN$184,BW$9,FALSE)-V59)</f>
        <v>-1</v>
      </c>
      <c r="BX59" s="91">
        <f>IF(W59="-","-",VLOOKUP($G59,CTBat!$G$10:$AN$184,BX$9,FALSE)-W59)</f>
        <v>-1</v>
      </c>
      <c r="BY59" s="91">
        <f>IF(X59="-","-",VLOOKUP($G59,CTBat!$G$10:$AN$184,BY$9,FALSE)-X59)</f>
        <v>0</v>
      </c>
      <c r="BZ59" s="91">
        <f>IF(Y59="-","-",VLOOKUP($G59,CTBat!$G$10:$AN$184,BZ$9,FALSE)-Y59)</f>
        <v>1</v>
      </c>
      <c r="CA59" s="91">
        <f>IF(Z59="-","-",VLOOKUP($G59,CTBat!$G$10:$AN$184,CA$9,FALSE)-Z59)</f>
        <v>0</v>
      </c>
      <c r="CB59" s="91">
        <f>IF(AA59="-","-",VLOOKUP($G59,CTBat!$G$10:$AN$184,CB$9,FALSE)-AA59)</f>
        <v>0</v>
      </c>
      <c r="CC59" s="91">
        <f>IF(AB59="-","-",VLOOKUP($G59,CTBat!$G$10:$AN$184,CC$9,FALSE)-AB59)</f>
        <v>0</v>
      </c>
      <c r="CD59" s="91">
        <f>IF(AC59="-","-",VLOOKUP($G59,CTBat!$G$10:$AN$184,CD$9,FALSE)-AC59)</f>
        <v>0</v>
      </c>
      <c r="CE59" s="91" t="str">
        <f>IF(AD59="-","-",VLOOKUP($G59,CTBat!$G$10:$AN$184,CE$9,FALSE)-AD59)</f>
        <v>-</v>
      </c>
      <c r="CF59" s="91">
        <f>IF(AE59="-","-",VLOOKUP($G59,CTBat!$G$10:$AN$184,CF$9,FALSE)-AE59)</f>
        <v>0</v>
      </c>
      <c r="CG59" s="91" t="str">
        <f>IF(AF59="-","-",VLOOKUP($G59,CTBat!$G$10:$AN$184,CG$9,FALSE)-AF59)</f>
        <v>-</v>
      </c>
      <c r="CH59" s="91" t="str">
        <f>IF(AG59="-","-",VLOOKUP($G59,CTBat!$G$10:$AN$184,CH$9,FALSE)-AG59)</f>
        <v>-</v>
      </c>
      <c r="CI59" s="91" t="str">
        <f>IF(AH59="-","-",VLOOKUP($G59,CTBat!$G$10:$AN$184,CI$9,FALSE)-AH59)</f>
        <v>-</v>
      </c>
      <c r="CJ59" s="91">
        <f>IF(AI59="-","-",VLOOKUP($G59,CTBat!$G$10:$AN$184,CJ$9,FALSE)-AI59)</f>
        <v>0</v>
      </c>
      <c r="CK59" s="91">
        <f>IF(AJ59="-","-",VLOOKUP($G59,CTBat!$G$10:$AN$184,CK$9,FALSE)-AJ59)</f>
        <v>0</v>
      </c>
      <c r="CL59" s="91">
        <f>IF(AK59="-","-",VLOOKUP($G59,CTBat!$G$10:$AN$184,CL$9,FALSE)-AK59)</f>
        <v>0</v>
      </c>
      <c r="CM59" s="91">
        <f>IF(AL59="-","-",VLOOKUP($G59,CTBat!$G$10:$AN$184,CM$9,FALSE)-AL59)</f>
        <v>0</v>
      </c>
      <c r="CN59" s="91">
        <f>IF(AM59="-","-",VLOOKUP($G59,CTBat!$G$10:$AN$184,CN$9,FALSE)-AM59)</f>
        <v>0</v>
      </c>
      <c r="CO59" s="91">
        <f>IF(AN59="-","-",VLOOKUP($G59,CTBat!$G$10:$AN$184,CO$9,FALSE)-AN59)</f>
        <v>0</v>
      </c>
      <c r="CP59" s="91">
        <f t="shared" si="78"/>
        <v>-1</v>
      </c>
      <c r="CQ59" s="91">
        <f t="shared" si="79"/>
        <v>-1</v>
      </c>
      <c r="CR59" s="91">
        <f t="shared" si="80"/>
        <v>0</v>
      </c>
      <c r="CS59" s="91">
        <f t="shared" si="81"/>
        <v>0</v>
      </c>
      <c r="CT59" s="91">
        <f t="shared" si="82"/>
        <v>-2</v>
      </c>
    </row>
    <row r="60" spans="1:98">
      <c r="C60" t="str">
        <f t="shared" si="48"/>
        <v>-</v>
      </c>
      <c r="D60" t="str">
        <f t="shared" si="49"/>
        <v>-</v>
      </c>
      <c r="E60" t="str">
        <f t="shared" si="50"/>
        <v>K</v>
      </c>
      <c r="F60" t="s">
        <v>100</v>
      </c>
      <c r="G60" t="s">
        <v>468</v>
      </c>
      <c r="H60" t="s">
        <v>370</v>
      </c>
      <c r="I60" t="s">
        <v>316</v>
      </c>
      <c r="J60">
        <v>22</v>
      </c>
      <c r="K60" t="s">
        <v>104</v>
      </c>
      <c r="L60" t="s">
        <v>104</v>
      </c>
      <c r="M60" t="s">
        <v>47</v>
      </c>
      <c r="N60" s="325" t="s">
        <v>47</v>
      </c>
      <c r="O60" t="s">
        <v>225</v>
      </c>
      <c r="P60" s="325" t="s">
        <v>225</v>
      </c>
      <c r="Q60">
        <v>4</v>
      </c>
      <c r="R60">
        <v>3</v>
      </c>
      <c r="S60">
        <v>2</v>
      </c>
      <c r="T60">
        <v>2</v>
      </c>
      <c r="U60" s="325">
        <v>2</v>
      </c>
      <c r="V60">
        <v>5</v>
      </c>
      <c r="W60">
        <v>4</v>
      </c>
      <c r="X60">
        <v>6</v>
      </c>
      <c r="Y60">
        <v>4</v>
      </c>
      <c r="Z60" s="325">
        <v>4</v>
      </c>
      <c r="AA60">
        <v>1</v>
      </c>
      <c r="AB60">
        <v>7</v>
      </c>
      <c r="AC60">
        <v>1</v>
      </c>
      <c r="AD60" t="s">
        <v>41</v>
      </c>
      <c r="AE60">
        <v>1</v>
      </c>
      <c r="AF60" t="s">
        <v>41</v>
      </c>
      <c r="AG60" t="s">
        <v>41</v>
      </c>
      <c r="AH60" t="s">
        <v>41</v>
      </c>
      <c r="AI60">
        <v>3</v>
      </c>
      <c r="AJ60" t="s">
        <v>41</v>
      </c>
      <c r="AK60" s="325">
        <v>3</v>
      </c>
      <c r="AL60">
        <v>4</v>
      </c>
      <c r="AM60">
        <v>6</v>
      </c>
      <c r="AN60" s="325">
        <v>5</v>
      </c>
      <c r="AO60" t="s">
        <v>41</v>
      </c>
      <c r="AP60" s="325">
        <v>0</v>
      </c>
      <c r="AQ60" s="6">
        <f t="shared" si="51"/>
        <v>1.6666666666666665</v>
      </c>
      <c r="AR60" s="9" t="str">
        <f t="shared" si="52"/>
        <v>Minors</v>
      </c>
      <c r="AS60" s="6">
        <f t="shared" si="53"/>
        <v>4.5</v>
      </c>
      <c r="AT60" s="6" t="str">
        <f t="shared" si="54"/>
        <v>Bench</v>
      </c>
      <c r="AU60" s="9">
        <f t="shared" si="55"/>
        <v>4.5</v>
      </c>
      <c r="AV60" s="9" t="str">
        <f t="shared" si="56"/>
        <v>Bench</v>
      </c>
      <c r="AW60" s="323">
        <f t="shared" si="57"/>
        <v>0</v>
      </c>
      <c r="AX60" s="324">
        <f t="shared" si="58"/>
        <v>0</v>
      </c>
      <c r="AY60" s="324">
        <f t="shared" si="59"/>
        <v>0</v>
      </c>
      <c r="AZ60" s="324">
        <f t="shared" si="60"/>
        <v>0</v>
      </c>
      <c r="BA60" s="324">
        <f t="shared" si="61"/>
        <v>0</v>
      </c>
      <c r="BB60" s="324">
        <f t="shared" si="62"/>
        <v>0</v>
      </c>
      <c r="BC60" s="324">
        <f t="shared" si="63"/>
        <v>0</v>
      </c>
      <c r="BD60" s="324">
        <f t="shared" si="64"/>
        <v>0</v>
      </c>
      <c r="BE60" s="325">
        <f t="shared" si="65"/>
        <v>0</v>
      </c>
      <c r="BF60" s="323">
        <f t="shared" si="66"/>
        <v>0</v>
      </c>
      <c r="BG60" s="324">
        <f t="shared" si="67"/>
        <v>0</v>
      </c>
      <c r="BH60" s="324">
        <f t="shared" si="68"/>
        <v>0</v>
      </c>
      <c r="BI60" s="324">
        <f t="shared" si="69"/>
        <v>0</v>
      </c>
      <c r="BJ60" s="324">
        <f t="shared" si="70"/>
        <v>0</v>
      </c>
      <c r="BK60" s="324">
        <f t="shared" si="71"/>
        <v>0</v>
      </c>
      <c r="BL60" s="324">
        <f t="shared" si="72"/>
        <v>0</v>
      </c>
      <c r="BM60" s="324">
        <f t="shared" si="73"/>
        <v>0</v>
      </c>
      <c r="BN60" s="325">
        <f t="shared" si="74"/>
        <v>0</v>
      </c>
      <c r="BO60" s="325">
        <f t="shared" si="75"/>
        <v>0</v>
      </c>
      <c r="BP60" s="7">
        <f t="shared" si="76"/>
        <v>0</v>
      </c>
      <c r="BQ60" t="str">
        <f t="shared" si="77"/>
        <v/>
      </c>
      <c r="BR60" s="91">
        <f>IF(Q60="-","-",VLOOKUP($G60,CTBat!$G$10:$AN$184,BR$9,FALSE)-Q60)</f>
        <v>0</v>
      </c>
      <c r="BS60" s="91">
        <f>IF(R60="-","-",VLOOKUP($G60,CTBat!$G$10:$AN$184,BS$9,FALSE)-R60)</f>
        <v>0</v>
      </c>
      <c r="BT60" s="91">
        <f>IF(S60="-","-",VLOOKUP($G60,CTBat!$G$10:$AN$184,BT$9,FALSE)-S60)</f>
        <v>0</v>
      </c>
      <c r="BU60" s="91">
        <f>IF(T60="-","-",VLOOKUP($G60,CTBat!$G$10:$AN$184,BU$9,FALSE)-T60)</f>
        <v>1</v>
      </c>
      <c r="BV60" s="91">
        <f>IF(U60="-","-",VLOOKUP($G60,CTBat!$G$10:$AN$184,BV$9,FALSE)-U60)</f>
        <v>0</v>
      </c>
      <c r="BW60" s="91">
        <f>IF(V60="-","-",VLOOKUP($G60,CTBat!$G$10:$AN$184,BW$9,FALSE)-V60)</f>
        <v>0</v>
      </c>
      <c r="BX60" s="91">
        <f>IF(W60="-","-",VLOOKUP($G60,CTBat!$G$10:$AN$184,BX$9,FALSE)-W60)</f>
        <v>-1</v>
      </c>
      <c r="BY60" s="91">
        <f>IF(X60="-","-",VLOOKUP($G60,CTBat!$G$10:$AN$184,BY$9,FALSE)-X60)</f>
        <v>-1</v>
      </c>
      <c r="BZ60" s="91">
        <f>IF(Y60="-","-",VLOOKUP($G60,CTBat!$G$10:$AN$184,BZ$9,FALSE)-Y60)</f>
        <v>-1</v>
      </c>
      <c r="CA60" s="91">
        <f>IF(Z60="-","-",VLOOKUP($G60,CTBat!$G$10:$AN$184,CA$9,FALSE)-Z60)</f>
        <v>-1</v>
      </c>
      <c r="CB60" s="91">
        <f>IF(AA60="-","-",VLOOKUP($G60,CTBat!$G$10:$AN$184,CB$9,FALSE)-AA60)</f>
        <v>0</v>
      </c>
      <c r="CC60" s="91">
        <f>IF(AB60="-","-",VLOOKUP($G60,CTBat!$G$10:$AN$184,CC$9,FALSE)-AB60)</f>
        <v>0</v>
      </c>
      <c r="CD60" s="91">
        <f>IF(AC60="-","-",VLOOKUP($G60,CTBat!$G$10:$AN$184,CD$9,FALSE)-AC60)</f>
        <v>0</v>
      </c>
      <c r="CE60" s="91" t="str">
        <f>IF(AD60="-","-",VLOOKUP($G60,CTBat!$G$10:$AN$184,CE$9,FALSE)-AD60)</f>
        <v>-</v>
      </c>
      <c r="CF60" s="91">
        <f>IF(AE60="-","-",VLOOKUP($G60,CTBat!$G$10:$AN$184,CF$9,FALSE)-AE60)</f>
        <v>0</v>
      </c>
      <c r="CG60" s="91" t="str">
        <f>IF(AF60="-","-",VLOOKUP($G60,CTBat!$G$10:$AN$184,CG$9,FALSE)-AF60)</f>
        <v>-</v>
      </c>
      <c r="CH60" s="91" t="str">
        <f>IF(AG60="-","-",VLOOKUP($G60,CTBat!$G$10:$AN$184,CH$9,FALSE)-AG60)</f>
        <v>-</v>
      </c>
      <c r="CI60" s="91" t="str">
        <f>IF(AH60="-","-",VLOOKUP($G60,CTBat!$G$10:$AN$184,CI$9,FALSE)-AH60)</f>
        <v>-</v>
      </c>
      <c r="CJ60" s="91">
        <f>IF(AI60="-","-",VLOOKUP($G60,CTBat!$G$10:$AN$184,CJ$9,FALSE)-AI60)</f>
        <v>0</v>
      </c>
      <c r="CK60" s="91" t="str">
        <f>IF(AJ60="-","-",VLOOKUP($G60,CTBat!$G$10:$AN$184,CK$9,FALSE)-AJ60)</f>
        <v>-</v>
      </c>
      <c r="CL60" s="91">
        <f>IF(AK60="-","-",VLOOKUP($G60,CTBat!$G$10:$AN$184,CL$9,FALSE)-AK60)</f>
        <v>0</v>
      </c>
      <c r="CM60" s="91">
        <f>IF(AL60="-","-",VLOOKUP($G60,CTBat!$G$10:$AN$184,CM$9,FALSE)-AL60)</f>
        <v>0</v>
      </c>
      <c r="CN60" s="91">
        <f>IF(AM60="-","-",VLOOKUP($G60,CTBat!$G$10:$AN$184,CN$9,FALSE)-AM60)</f>
        <v>0</v>
      </c>
      <c r="CO60" s="91">
        <f>IF(AN60="-","-",VLOOKUP($G60,CTBat!$G$10:$AN$184,CO$9,FALSE)-AN60)</f>
        <v>0</v>
      </c>
      <c r="CP60" s="91">
        <f t="shared" si="78"/>
        <v>1</v>
      </c>
      <c r="CQ60" s="91">
        <f t="shared" si="79"/>
        <v>-4</v>
      </c>
      <c r="CR60" s="91">
        <f t="shared" si="80"/>
        <v>0</v>
      </c>
      <c r="CS60" s="91">
        <f t="shared" si="81"/>
        <v>0</v>
      </c>
      <c r="CT60" s="91">
        <f t="shared" si="82"/>
        <v>-3</v>
      </c>
    </row>
    <row r="61" spans="1:98">
      <c r="C61">
        <f t="shared" si="48"/>
        <v>8</v>
      </c>
      <c r="D61" t="str">
        <f t="shared" si="49"/>
        <v>-</v>
      </c>
      <c r="E61" t="str">
        <f t="shared" si="50"/>
        <v>K</v>
      </c>
      <c r="F61" t="s">
        <v>100</v>
      </c>
      <c r="G61" t="s">
        <v>469</v>
      </c>
      <c r="H61" t="s">
        <v>370</v>
      </c>
      <c r="I61" t="s">
        <v>316</v>
      </c>
      <c r="J61">
        <v>19</v>
      </c>
      <c r="K61" t="s">
        <v>103</v>
      </c>
      <c r="L61" t="s">
        <v>103</v>
      </c>
      <c r="M61" t="s">
        <v>47</v>
      </c>
      <c r="N61" s="269" t="s">
        <v>47</v>
      </c>
      <c r="O61" t="s">
        <v>226</v>
      </c>
      <c r="P61" s="269" t="s">
        <v>225</v>
      </c>
      <c r="Q61">
        <v>2</v>
      </c>
      <c r="R61">
        <v>3</v>
      </c>
      <c r="S61">
        <v>1</v>
      </c>
      <c r="T61">
        <v>1</v>
      </c>
      <c r="U61" s="269">
        <v>2</v>
      </c>
      <c r="V61">
        <v>5</v>
      </c>
      <c r="W61">
        <v>7</v>
      </c>
      <c r="X61">
        <v>4</v>
      </c>
      <c r="Y61">
        <v>5</v>
      </c>
      <c r="Z61" s="269">
        <v>4</v>
      </c>
      <c r="AA61">
        <v>1</v>
      </c>
      <c r="AB61">
        <v>7</v>
      </c>
      <c r="AC61">
        <v>1</v>
      </c>
      <c r="AD61" t="s">
        <v>41</v>
      </c>
      <c r="AE61" t="s">
        <v>41</v>
      </c>
      <c r="AF61" t="s">
        <v>41</v>
      </c>
      <c r="AG61" t="s">
        <v>41</v>
      </c>
      <c r="AH61" t="s">
        <v>41</v>
      </c>
      <c r="AI61">
        <v>1</v>
      </c>
      <c r="AJ61" t="s">
        <v>41</v>
      </c>
      <c r="AK61" s="269">
        <v>2</v>
      </c>
      <c r="AL61">
        <v>10</v>
      </c>
      <c r="AM61">
        <v>10</v>
      </c>
      <c r="AN61" s="269">
        <v>10</v>
      </c>
      <c r="AO61" s="85" t="s">
        <v>41</v>
      </c>
      <c r="AP61" s="269">
        <v>0</v>
      </c>
      <c r="AQ61" s="6">
        <f t="shared" si="51"/>
        <v>-0.66666666666666674</v>
      </c>
      <c r="AR61" s="9" t="str">
        <f t="shared" si="52"/>
        <v>Minors</v>
      </c>
      <c r="AS61" s="6">
        <f t="shared" si="53"/>
        <v>4.166666666666667</v>
      </c>
      <c r="AT61" s="6" t="str">
        <f t="shared" si="54"/>
        <v>Bench</v>
      </c>
      <c r="AU61" s="9">
        <f t="shared" si="55"/>
        <v>4.166666666666667</v>
      </c>
      <c r="AV61" s="9" t="str">
        <f t="shared" si="56"/>
        <v>Bench</v>
      </c>
      <c r="AW61" s="53">
        <f t="shared" si="57"/>
        <v>0</v>
      </c>
      <c r="AX61" s="268">
        <f t="shared" si="58"/>
        <v>0</v>
      </c>
      <c r="AY61" s="268">
        <f t="shared" si="59"/>
        <v>0</v>
      </c>
      <c r="AZ61" s="268">
        <f t="shared" si="60"/>
        <v>0</v>
      </c>
      <c r="BA61" s="268">
        <f t="shared" si="61"/>
        <v>0</v>
      </c>
      <c r="BB61" s="268">
        <f t="shared" si="62"/>
        <v>0</v>
      </c>
      <c r="BC61" s="268">
        <f t="shared" si="63"/>
        <v>0</v>
      </c>
      <c r="BD61" s="268">
        <f t="shared" si="64"/>
        <v>0</v>
      </c>
      <c r="BE61" s="269">
        <f t="shared" si="65"/>
        <v>0</v>
      </c>
      <c r="BF61" s="53">
        <f t="shared" si="66"/>
        <v>0</v>
      </c>
      <c r="BG61" s="268">
        <f t="shared" si="67"/>
        <v>0</v>
      </c>
      <c r="BH61" s="268">
        <f t="shared" si="68"/>
        <v>0</v>
      </c>
      <c r="BI61" s="268">
        <f t="shared" si="69"/>
        <v>0</v>
      </c>
      <c r="BJ61" s="268">
        <f t="shared" si="70"/>
        <v>0</v>
      </c>
      <c r="BK61" s="268">
        <f t="shared" si="71"/>
        <v>0</v>
      </c>
      <c r="BL61" s="268">
        <f t="shared" si="72"/>
        <v>0</v>
      </c>
      <c r="BM61" s="268">
        <f t="shared" si="73"/>
        <v>1</v>
      </c>
      <c r="BN61" s="269">
        <f t="shared" si="74"/>
        <v>1</v>
      </c>
      <c r="BO61" s="269">
        <f t="shared" si="75"/>
        <v>6</v>
      </c>
      <c r="BP61" s="7">
        <f t="shared" si="76"/>
        <v>0</v>
      </c>
      <c r="BQ61" t="str">
        <f t="shared" si="77"/>
        <v/>
      </c>
      <c r="BR61" s="91">
        <f>IF(Q61="-","-",VLOOKUP($G61,CTBat!$G$10:$AN$184,BR$9,FALSE)-Q61)</f>
        <v>0</v>
      </c>
      <c r="BS61" s="91">
        <f>IF(R61="-","-",VLOOKUP($G61,CTBat!$G$10:$AN$184,BS$9,FALSE)-R61)</f>
        <v>0</v>
      </c>
      <c r="BT61" s="91">
        <f>IF(S61="-","-",VLOOKUP($G61,CTBat!$G$10:$AN$184,BT$9,FALSE)-S61)</f>
        <v>0</v>
      </c>
      <c r="BU61" s="91">
        <f>IF(T61="-","-",VLOOKUP($G61,CTBat!$G$10:$AN$184,BU$9,FALSE)-T61)</f>
        <v>1</v>
      </c>
      <c r="BV61" s="91">
        <f>IF(U61="-","-",VLOOKUP($G61,CTBat!$G$10:$AN$184,BV$9,FALSE)-U61)</f>
        <v>1</v>
      </c>
      <c r="BW61" s="91">
        <f>IF(V61="-","-",VLOOKUP($G61,CTBat!$G$10:$AN$184,BW$9,FALSE)-V61)</f>
        <v>-1</v>
      </c>
      <c r="BX61" s="91">
        <f>IF(W61="-","-",VLOOKUP($G61,CTBat!$G$10:$AN$184,BX$9,FALSE)-W61)</f>
        <v>-2</v>
      </c>
      <c r="BY61" s="91">
        <f>IF(X61="-","-",VLOOKUP($G61,CTBat!$G$10:$AN$184,BY$9,FALSE)-X61)</f>
        <v>-1</v>
      </c>
      <c r="BZ61" s="91">
        <f>IF(Y61="-","-",VLOOKUP($G61,CTBat!$G$10:$AN$184,BZ$9,FALSE)-Y61)</f>
        <v>-1</v>
      </c>
      <c r="CA61" s="91">
        <f>IF(Z61="-","-",VLOOKUP($G61,CTBat!$G$10:$AN$184,CA$9,FALSE)-Z61)</f>
        <v>0</v>
      </c>
      <c r="CB61" s="91">
        <f>IF(AA61="-","-",VLOOKUP($G61,CTBat!$G$10:$AN$184,CB$9,FALSE)-AA61)</f>
        <v>0</v>
      </c>
      <c r="CC61" s="91">
        <f>IF(AB61="-","-",VLOOKUP($G61,CTBat!$G$10:$AN$184,CC$9,FALSE)-AB61)</f>
        <v>0</v>
      </c>
      <c r="CD61" s="91">
        <f>IF(AC61="-","-",VLOOKUP($G61,CTBat!$G$10:$AN$184,CD$9,FALSE)-AC61)</f>
        <v>0</v>
      </c>
      <c r="CE61" s="91" t="str">
        <f>IF(AD61="-","-",VLOOKUP($G61,CTBat!$G$10:$AN$184,CE$9,FALSE)-AD61)</f>
        <v>-</v>
      </c>
      <c r="CF61" s="91" t="str">
        <f>IF(AE61="-","-",VLOOKUP($G61,CTBat!$G$10:$AN$184,CF$9,FALSE)-AE61)</f>
        <v>-</v>
      </c>
      <c r="CG61" s="91" t="str">
        <f>IF(AF61="-","-",VLOOKUP($G61,CTBat!$G$10:$AN$184,CG$9,FALSE)-AF61)</f>
        <v>-</v>
      </c>
      <c r="CH61" s="91" t="str">
        <f>IF(AG61="-","-",VLOOKUP($G61,CTBat!$G$10:$AN$184,CH$9,FALSE)-AG61)</f>
        <v>-</v>
      </c>
      <c r="CI61" s="91" t="str">
        <f>IF(AH61="-","-",VLOOKUP($G61,CTBat!$G$10:$AN$184,CI$9,FALSE)-AH61)</f>
        <v>-</v>
      </c>
      <c r="CJ61" s="91">
        <f>IF(AI61="-","-",VLOOKUP($G61,CTBat!$G$10:$AN$184,CJ$9,FALSE)-AI61)</f>
        <v>0</v>
      </c>
      <c r="CK61" s="91" t="str">
        <f>IF(AJ61="-","-",VLOOKUP($G61,CTBat!$G$10:$AN$184,CK$9,FALSE)-AJ61)</f>
        <v>-</v>
      </c>
      <c r="CL61" s="91">
        <f>IF(AK61="-","-",VLOOKUP($G61,CTBat!$G$10:$AN$184,CL$9,FALSE)-AK61)</f>
        <v>0</v>
      </c>
      <c r="CM61" s="91">
        <f>IF(AL61="-","-",VLOOKUP($G61,CTBat!$G$10:$AN$184,CM$9,FALSE)-AL61)</f>
        <v>0</v>
      </c>
      <c r="CN61" s="91">
        <f>IF(AM61="-","-",VLOOKUP($G61,CTBat!$G$10:$AN$184,CN$9,FALSE)-AM61)</f>
        <v>0</v>
      </c>
      <c r="CO61" s="91">
        <f>IF(AN61="-","-",VLOOKUP($G61,CTBat!$G$10:$AN$184,CO$9,FALSE)-AN61)</f>
        <v>0</v>
      </c>
      <c r="CP61" s="91">
        <f t="shared" si="78"/>
        <v>2</v>
      </c>
      <c r="CQ61" s="91">
        <f t="shared" si="79"/>
        <v>-5</v>
      </c>
      <c r="CR61" s="91">
        <f t="shared" si="80"/>
        <v>0</v>
      </c>
      <c r="CS61" s="91">
        <f t="shared" si="81"/>
        <v>0</v>
      </c>
      <c r="CT61" s="91">
        <f t="shared" si="82"/>
        <v>-3</v>
      </c>
    </row>
    <row r="62" spans="1:98">
      <c r="C62" t="str">
        <f t="shared" si="48"/>
        <v>-</v>
      </c>
      <c r="D62" t="str">
        <f t="shared" si="49"/>
        <v>-</v>
      </c>
      <c r="E62" t="str">
        <f t="shared" si="50"/>
        <v>K</v>
      </c>
      <c r="F62" t="s">
        <v>94</v>
      </c>
      <c r="G62" t="s">
        <v>497</v>
      </c>
      <c r="H62" t="s">
        <v>370</v>
      </c>
      <c r="I62" t="s">
        <v>316</v>
      </c>
      <c r="J62">
        <v>19</v>
      </c>
      <c r="K62" t="s">
        <v>104</v>
      </c>
      <c r="L62" t="s">
        <v>104</v>
      </c>
      <c r="M62" t="s">
        <v>47</v>
      </c>
      <c r="N62" s="3" t="s">
        <v>47</v>
      </c>
      <c r="O62" t="s">
        <v>226</v>
      </c>
      <c r="P62" s="3" t="s">
        <v>224</v>
      </c>
      <c r="Q62">
        <v>1</v>
      </c>
      <c r="R62">
        <v>2</v>
      </c>
      <c r="S62">
        <v>1</v>
      </c>
      <c r="T62">
        <v>1</v>
      </c>
      <c r="U62" s="3">
        <v>1</v>
      </c>
      <c r="V62">
        <v>4</v>
      </c>
      <c r="W62">
        <v>6</v>
      </c>
      <c r="X62">
        <v>3</v>
      </c>
      <c r="Y62">
        <v>6</v>
      </c>
      <c r="Z62" s="3">
        <v>4</v>
      </c>
      <c r="AA62">
        <v>6</v>
      </c>
      <c r="AB62">
        <v>2</v>
      </c>
      <c r="AC62">
        <v>2</v>
      </c>
      <c r="AD62" t="s">
        <v>41</v>
      </c>
      <c r="AE62">
        <v>4</v>
      </c>
      <c r="AF62" t="s">
        <v>41</v>
      </c>
      <c r="AG62">
        <v>2</v>
      </c>
      <c r="AH62" t="s">
        <v>41</v>
      </c>
      <c r="AI62" t="s">
        <v>41</v>
      </c>
      <c r="AJ62" t="s">
        <v>41</v>
      </c>
      <c r="AK62" s="3" t="s">
        <v>41</v>
      </c>
      <c r="AL62">
        <v>3</v>
      </c>
      <c r="AM62">
        <v>4</v>
      </c>
      <c r="AN62" s="3">
        <v>5</v>
      </c>
      <c r="AO62" t="s">
        <v>41</v>
      </c>
      <c r="AP62" s="3" t="s">
        <v>45</v>
      </c>
      <c r="AQ62" s="6">
        <f t="shared" si="51"/>
        <v>-1.5</v>
      </c>
      <c r="AR62" s="9" t="str">
        <f t="shared" si="52"/>
        <v>Minors</v>
      </c>
      <c r="AS62" s="6">
        <f t="shared" si="53"/>
        <v>3.333333333333333</v>
      </c>
      <c r="AT62" s="6" t="str">
        <f t="shared" si="54"/>
        <v>Minors</v>
      </c>
      <c r="AU62" s="9">
        <f t="shared" si="55"/>
        <v>3.333333333333333</v>
      </c>
      <c r="AV62" s="9" t="str">
        <f t="shared" si="56"/>
        <v>Minors</v>
      </c>
      <c r="AW62" s="53">
        <f t="shared" si="57"/>
        <v>0</v>
      </c>
      <c r="AX62" s="5">
        <f t="shared" si="58"/>
        <v>0</v>
      </c>
      <c r="AY62" s="5">
        <f t="shared" si="59"/>
        <v>0</v>
      </c>
      <c r="AZ62" s="5">
        <f t="shared" si="60"/>
        <v>0</v>
      </c>
      <c r="BA62" s="5">
        <f t="shared" si="61"/>
        <v>0</v>
      </c>
      <c r="BB62" s="5">
        <f t="shared" si="62"/>
        <v>0</v>
      </c>
      <c r="BC62" s="5">
        <f t="shared" si="63"/>
        <v>0</v>
      </c>
      <c r="BD62" s="5">
        <f t="shared" si="64"/>
        <v>0</v>
      </c>
      <c r="BE62" s="3">
        <f t="shared" si="65"/>
        <v>0</v>
      </c>
      <c r="BF62" s="53">
        <f t="shared" si="66"/>
        <v>0</v>
      </c>
      <c r="BG62" s="5">
        <f t="shared" si="67"/>
        <v>0</v>
      </c>
      <c r="BH62" s="5">
        <f t="shared" si="68"/>
        <v>0</v>
      </c>
      <c r="BI62" s="5">
        <f t="shared" si="69"/>
        <v>0</v>
      </c>
      <c r="BJ62" s="5">
        <f t="shared" si="70"/>
        <v>0</v>
      </c>
      <c r="BK62" s="5">
        <f t="shared" si="71"/>
        <v>0</v>
      </c>
      <c r="BL62" s="5">
        <f t="shared" si="72"/>
        <v>0</v>
      </c>
      <c r="BM62" s="5">
        <f t="shared" si="73"/>
        <v>0</v>
      </c>
      <c r="BN62" s="3">
        <f t="shared" si="74"/>
        <v>0</v>
      </c>
      <c r="BO62" s="3">
        <f t="shared" si="75"/>
        <v>0</v>
      </c>
      <c r="BP62" s="7">
        <f t="shared" si="76"/>
        <v>0</v>
      </c>
      <c r="BQ62" t="str">
        <f t="shared" si="77"/>
        <v/>
      </c>
      <c r="BR62" s="91">
        <f>IF(Q62="-","-",VLOOKUP($G62,CTBat!$G$10:$AN$184,BR$9,FALSE)-Q62)</f>
        <v>0</v>
      </c>
      <c r="BS62" s="91">
        <f>IF(R62="-","-",VLOOKUP($G62,CTBat!$G$10:$AN$184,BS$9,FALSE)-R62)</f>
        <v>0</v>
      </c>
      <c r="BT62" s="91">
        <f>IF(S62="-","-",VLOOKUP($G62,CTBat!$G$10:$AN$184,BT$9,FALSE)-S62)</f>
        <v>0</v>
      </c>
      <c r="BU62" s="91">
        <f>IF(T62="-","-",VLOOKUP($G62,CTBat!$G$10:$AN$184,BU$9,FALSE)-T62)</f>
        <v>2</v>
      </c>
      <c r="BV62" s="91">
        <f>IF(U62="-","-",VLOOKUP($G62,CTBat!$G$10:$AN$184,BV$9,FALSE)-U62)</f>
        <v>0</v>
      </c>
      <c r="BW62" s="91">
        <f>IF(V62="-","-",VLOOKUP($G62,CTBat!$G$10:$AN$184,BW$9,FALSE)-V62)</f>
        <v>-2</v>
      </c>
      <c r="BX62" s="91">
        <f>IF(W62="-","-",VLOOKUP($G62,CTBat!$G$10:$AN$184,BX$9,FALSE)-W62)</f>
        <v>-2</v>
      </c>
      <c r="BY62" s="91">
        <f>IF(X62="-","-",VLOOKUP($G62,CTBat!$G$10:$AN$184,BY$9,FALSE)-X62)</f>
        <v>0</v>
      </c>
      <c r="BZ62" s="91">
        <f>IF(Y62="-","-",VLOOKUP($G62,CTBat!$G$10:$AN$184,BZ$9,FALSE)-Y62)</f>
        <v>0</v>
      </c>
      <c r="CA62" s="91">
        <f>IF(Z62="-","-",VLOOKUP($G62,CTBat!$G$10:$AN$184,CA$9,FALSE)-Z62)</f>
        <v>-1</v>
      </c>
      <c r="CB62" s="91">
        <f>IF(AA62="-","-",VLOOKUP($G62,CTBat!$G$10:$AN$184,CB$9,FALSE)-AA62)</f>
        <v>0</v>
      </c>
      <c r="CC62" s="91">
        <f>IF(AB62="-","-",VLOOKUP($G62,CTBat!$G$10:$AN$184,CC$9,FALSE)-AB62)</f>
        <v>0</v>
      </c>
      <c r="CD62" s="91">
        <f>IF(AC62="-","-",VLOOKUP($G62,CTBat!$G$10:$AN$184,CD$9,FALSE)-AC62)</f>
        <v>0</v>
      </c>
      <c r="CE62" s="91" t="str">
        <f>IF(AD62="-","-",VLOOKUP($G62,CTBat!$G$10:$AN$184,CE$9,FALSE)-AD62)</f>
        <v>-</v>
      </c>
      <c r="CF62" s="91">
        <f>IF(AE62="-","-",VLOOKUP($G62,CTBat!$G$10:$AN$184,CF$9,FALSE)-AE62)</f>
        <v>0</v>
      </c>
      <c r="CG62" s="91" t="str">
        <f>IF(AF62="-","-",VLOOKUP($G62,CTBat!$G$10:$AN$184,CG$9,FALSE)-AF62)</f>
        <v>-</v>
      </c>
      <c r="CH62" s="91">
        <f>IF(AG62="-","-",VLOOKUP($G62,CTBat!$G$10:$AN$184,CH$9,FALSE)-AG62)</f>
        <v>0</v>
      </c>
      <c r="CI62" s="91" t="str">
        <f>IF(AH62="-","-",VLOOKUP($G62,CTBat!$G$10:$AN$184,CI$9,FALSE)-AH62)</f>
        <v>-</v>
      </c>
      <c r="CJ62" s="91" t="str">
        <f>IF(AI62="-","-",VLOOKUP($G62,CTBat!$G$10:$AN$184,CJ$9,FALSE)-AI62)</f>
        <v>-</v>
      </c>
      <c r="CK62" s="91" t="str">
        <f>IF(AJ62="-","-",VLOOKUP($G62,CTBat!$G$10:$AN$184,CK$9,FALSE)-AJ62)</f>
        <v>-</v>
      </c>
      <c r="CL62" s="91" t="str">
        <f>IF(AK62="-","-",VLOOKUP($G62,CTBat!$G$10:$AN$184,CL$9,FALSE)-AK62)</f>
        <v>-</v>
      </c>
      <c r="CM62" s="91">
        <f>IF(AL62="-","-",VLOOKUP($G62,CTBat!$G$10:$AN$184,CM$9,FALSE)-AL62)</f>
        <v>0</v>
      </c>
      <c r="CN62" s="91">
        <f>IF(AM62="-","-",VLOOKUP($G62,CTBat!$G$10:$AN$184,CN$9,FALSE)-AM62)</f>
        <v>0</v>
      </c>
      <c r="CO62" s="91">
        <f>IF(AN62="-","-",VLOOKUP($G62,CTBat!$G$10:$AN$184,CO$9,FALSE)-AN62)</f>
        <v>0</v>
      </c>
      <c r="CP62" s="91">
        <f t="shared" si="78"/>
        <v>2</v>
      </c>
      <c r="CQ62" s="91">
        <f t="shared" si="79"/>
        <v>-5</v>
      </c>
      <c r="CR62" s="91">
        <f t="shared" si="80"/>
        <v>0</v>
      </c>
      <c r="CS62" s="91">
        <f t="shared" si="81"/>
        <v>0</v>
      </c>
      <c r="CT62" s="91">
        <f t="shared" si="82"/>
        <v>-3</v>
      </c>
    </row>
    <row r="63" spans="1:98">
      <c r="C63">
        <f t="shared" si="48"/>
        <v>5</v>
      </c>
      <c r="D63" t="str">
        <f t="shared" si="49"/>
        <v>-</v>
      </c>
      <c r="E63" t="str">
        <f t="shared" si="50"/>
        <v>K</v>
      </c>
      <c r="F63" t="s">
        <v>98</v>
      </c>
      <c r="G63" t="s">
        <v>464</v>
      </c>
      <c r="H63" t="s">
        <v>370</v>
      </c>
      <c r="I63" t="s">
        <v>316</v>
      </c>
      <c r="J63">
        <v>19</v>
      </c>
      <c r="K63" t="s">
        <v>104</v>
      </c>
      <c r="L63" t="s">
        <v>104</v>
      </c>
      <c r="M63" t="s">
        <v>47</v>
      </c>
      <c r="N63" s="3" t="s">
        <v>48</v>
      </c>
      <c r="O63" t="s">
        <v>226</v>
      </c>
      <c r="P63" s="3" t="s">
        <v>223</v>
      </c>
      <c r="Q63">
        <v>3</v>
      </c>
      <c r="R63">
        <v>3</v>
      </c>
      <c r="S63">
        <v>1</v>
      </c>
      <c r="T63">
        <v>2</v>
      </c>
      <c r="U63" s="3">
        <v>2</v>
      </c>
      <c r="V63">
        <v>9</v>
      </c>
      <c r="W63">
        <v>7</v>
      </c>
      <c r="X63">
        <v>7</v>
      </c>
      <c r="Y63">
        <v>3</v>
      </c>
      <c r="Z63" s="3">
        <v>10</v>
      </c>
      <c r="AA63">
        <v>1</v>
      </c>
      <c r="AB63">
        <v>7</v>
      </c>
      <c r="AC63">
        <v>1</v>
      </c>
      <c r="AD63" t="s">
        <v>41</v>
      </c>
      <c r="AE63" t="s">
        <v>41</v>
      </c>
      <c r="AF63" t="s">
        <v>41</v>
      </c>
      <c r="AG63" t="s">
        <v>41</v>
      </c>
      <c r="AH63" t="s">
        <v>41</v>
      </c>
      <c r="AI63">
        <v>4</v>
      </c>
      <c r="AJ63">
        <v>1</v>
      </c>
      <c r="AK63" s="3">
        <v>2</v>
      </c>
      <c r="AL63">
        <v>8</v>
      </c>
      <c r="AM63">
        <v>10</v>
      </c>
      <c r="AN63" s="3">
        <v>10</v>
      </c>
      <c r="AO63" s="85" t="s">
        <v>41</v>
      </c>
      <c r="AP63" s="3">
        <v>0</v>
      </c>
      <c r="AQ63" s="6">
        <f t="shared" si="51"/>
        <v>0.5</v>
      </c>
      <c r="AR63" s="9" t="str">
        <f t="shared" si="52"/>
        <v>Minors</v>
      </c>
      <c r="AS63" s="6">
        <f t="shared" si="53"/>
        <v>6.833333333333333</v>
      </c>
      <c r="AT63" s="6" t="str">
        <f t="shared" si="54"/>
        <v>GoodReg</v>
      </c>
      <c r="AU63" s="9">
        <f t="shared" si="55"/>
        <v>6.833333333333333</v>
      </c>
      <c r="AV63" s="9" t="str">
        <f t="shared" si="56"/>
        <v>GoodReg</v>
      </c>
      <c r="AW63" s="53">
        <f t="shared" si="57"/>
        <v>0</v>
      </c>
      <c r="AX63" s="5">
        <f t="shared" si="58"/>
        <v>0</v>
      </c>
      <c r="AY63" s="5">
        <f t="shared" si="59"/>
        <v>0</v>
      </c>
      <c r="AZ63" s="5">
        <f t="shared" si="60"/>
        <v>0</v>
      </c>
      <c r="BA63" s="5">
        <f t="shared" si="61"/>
        <v>0</v>
      </c>
      <c r="BB63" s="5">
        <f t="shared" si="62"/>
        <v>0</v>
      </c>
      <c r="BC63" s="5">
        <f t="shared" si="63"/>
        <v>0</v>
      </c>
      <c r="BD63" s="5">
        <f t="shared" si="64"/>
        <v>0</v>
      </c>
      <c r="BE63" s="3">
        <f t="shared" si="65"/>
        <v>0</v>
      </c>
      <c r="BF63" s="53">
        <f t="shared" si="66"/>
        <v>0</v>
      </c>
      <c r="BG63" s="5">
        <f t="shared" si="67"/>
        <v>1</v>
      </c>
      <c r="BH63" s="5">
        <f t="shared" si="68"/>
        <v>0</v>
      </c>
      <c r="BI63" s="5">
        <f t="shared" si="69"/>
        <v>0</v>
      </c>
      <c r="BJ63" s="5">
        <f t="shared" si="70"/>
        <v>1</v>
      </c>
      <c r="BK63" s="5">
        <f t="shared" si="71"/>
        <v>1</v>
      </c>
      <c r="BL63" s="5">
        <f t="shared" si="72"/>
        <v>1</v>
      </c>
      <c r="BM63" s="5">
        <f t="shared" si="73"/>
        <v>1</v>
      </c>
      <c r="BN63" s="3">
        <f t="shared" si="74"/>
        <v>1</v>
      </c>
      <c r="BO63" s="3">
        <f t="shared" si="75"/>
        <v>5</v>
      </c>
      <c r="BP63" s="7">
        <f t="shared" si="76"/>
        <v>0</v>
      </c>
      <c r="BQ63" t="str">
        <f t="shared" si="77"/>
        <v/>
      </c>
      <c r="BR63" s="91" t="e">
        <f>IF(Q63="-","-",VLOOKUP($G63,CTBat!$G$10:$AN$184,BR$9,FALSE)-Q63)</f>
        <v>#N/A</v>
      </c>
      <c r="BS63" s="91" t="e">
        <f>IF(R63="-","-",VLOOKUP($G63,CTBat!$G$10:$AN$184,BS$9,FALSE)-R63)</f>
        <v>#N/A</v>
      </c>
      <c r="BT63" s="91" t="e">
        <f>IF(S63="-","-",VLOOKUP($G63,CTBat!$G$10:$AN$184,BT$9,FALSE)-S63)</f>
        <v>#N/A</v>
      </c>
      <c r="BU63" s="91" t="e">
        <f>IF(T63="-","-",VLOOKUP($G63,CTBat!$G$10:$AN$184,BU$9,FALSE)-T63)</f>
        <v>#N/A</v>
      </c>
      <c r="BV63" s="91" t="e">
        <f>IF(U63="-","-",VLOOKUP($G63,CTBat!$G$10:$AN$184,BV$9,FALSE)-U63)</f>
        <v>#N/A</v>
      </c>
      <c r="BW63" s="91" t="e">
        <f>IF(V63="-","-",VLOOKUP($G63,CTBat!$G$10:$AN$184,BW$9,FALSE)-V63)</f>
        <v>#N/A</v>
      </c>
      <c r="BX63" s="91" t="e">
        <f>IF(W63="-","-",VLOOKUP($G63,CTBat!$G$10:$AN$184,BX$9,FALSE)-W63)</f>
        <v>#N/A</v>
      </c>
      <c r="BY63" s="91" t="e">
        <f>IF(X63="-","-",VLOOKUP($G63,CTBat!$G$10:$AN$184,BY$9,FALSE)-X63)</f>
        <v>#N/A</v>
      </c>
      <c r="BZ63" s="91" t="e">
        <f>IF(Y63="-","-",VLOOKUP($G63,CTBat!$G$10:$AN$184,BZ$9,FALSE)-Y63)</f>
        <v>#N/A</v>
      </c>
      <c r="CA63" s="91" t="e">
        <f>IF(Z63="-","-",VLOOKUP($G63,CTBat!$G$10:$AN$184,CA$9,FALSE)-Z63)</f>
        <v>#N/A</v>
      </c>
      <c r="CB63" s="91" t="e">
        <f>IF(AA63="-","-",VLOOKUP($G63,CTBat!$G$10:$AN$184,CB$9,FALSE)-AA63)</f>
        <v>#N/A</v>
      </c>
      <c r="CC63" s="91" t="e">
        <f>IF(AB63="-","-",VLOOKUP($G63,CTBat!$G$10:$AN$184,CC$9,FALSE)-AB63)</f>
        <v>#N/A</v>
      </c>
      <c r="CD63" s="91" t="e">
        <f>IF(AC63="-","-",VLOOKUP($G63,CTBat!$G$10:$AN$184,CD$9,FALSE)-AC63)</f>
        <v>#N/A</v>
      </c>
      <c r="CE63" s="91" t="str">
        <f>IF(AD63="-","-",VLOOKUP($G63,CTBat!$G$10:$AN$184,CE$9,FALSE)-AD63)</f>
        <v>-</v>
      </c>
      <c r="CF63" s="91" t="str">
        <f>IF(AE63="-","-",VLOOKUP($G63,CTBat!$G$10:$AN$184,CF$9,FALSE)-AE63)</f>
        <v>-</v>
      </c>
      <c r="CG63" s="91" t="str">
        <f>IF(AF63="-","-",VLOOKUP($G63,CTBat!$G$10:$AN$184,CG$9,FALSE)-AF63)</f>
        <v>-</v>
      </c>
      <c r="CH63" s="91" t="str">
        <f>IF(AG63="-","-",VLOOKUP($G63,CTBat!$G$10:$AN$184,CH$9,FALSE)-AG63)</f>
        <v>-</v>
      </c>
      <c r="CI63" s="91" t="str">
        <f>IF(AH63="-","-",VLOOKUP($G63,CTBat!$G$10:$AN$184,CI$9,FALSE)-AH63)</f>
        <v>-</v>
      </c>
      <c r="CJ63" s="91" t="e">
        <f>IF(AI63="-","-",VLOOKUP($G63,CTBat!$G$10:$AN$184,CJ$9,FALSE)-AI63)</f>
        <v>#N/A</v>
      </c>
      <c r="CK63" s="91" t="e">
        <f>IF(AJ63="-","-",VLOOKUP($G63,CTBat!$G$10:$AN$184,CK$9,FALSE)-AJ63)</f>
        <v>#N/A</v>
      </c>
      <c r="CL63" s="91" t="e">
        <f>IF(AK63="-","-",VLOOKUP($G63,CTBat!$G$10:$AN$184,CL$9,FALSE)-AK63)</f>
        <v>#N/A</v>
      </c>
      <c r="CM63" s="91" t="e">
        <f>IF(AL63="-","-",VLOOKUP($G63,CTBat!$G$10:$AN$184,CM$9,FALSE)-AL63)</f>
        <v>#N/A</v>
      </c>
      <c r="CN63" s="91" t="e">
        <f>IF(AM63="-","-",VLOOKUP($G63,CTBat!$G$10:$AN$184,CN$9,FALSE)-AM63)</f>
        <v>#N/A</v>
      </c>
      <c r="CO63" s="91" t="e">
        <f>IF(AN63="-","-",VLOOKUP($G63,CTBat!$G$10:$AN$184,CO$9,FALSE)-AN63)</f>
        <v>#N/A</v>
      </c>
      <c r="CP63" s="91" t="e">
        <f t="shared" si="78"/>
        <v>#N/A</v>
      </c>
      <c r="CQ63" s="91" t="e">
        <f t="shared" si="79"/>
        <v>#N/A</v>
      </c>
      <c r="CR63" s="91" t="e">
        <f t="shared" si="80"/>
        <v>#N/A</v>
      </c>
      <c r="CS63" s="91" t="e">
        <f t="shared" si="81"/>
        <v>#N/A</v>
      </c>
      <c r="CT63" s="91" t="e">
        <f t="shared" si="82"/>
        <v>#N/A</v>
      </c>
    </row>
    <row r="64" spans="1:98">
      <c r="A64" s="27"/>
      <c r="B64" s="27"/>
      <c r="C64" s="27" t="str">
        <f t="shared" si="48"/>
        <v>-</v>
      </c>
      <c r="D64" s="27" t="str">
        <f t="shared" si="49"/>
        <v>-</v>
      </c>
      <c r="E64" s="27" t="str">
        <f t="shared" si="50"/>
        <v>K</v>
      </c>
      <c r="F64" s="27" t="s">
        <v>99</v>
      </c>
      <c r="G64" s="27" t="s">
        <v>517</v>
      </c>
      <c r="H64" s="27" t="s">
        <v>372</v>
      </c>
      <c r="I64" s="27" t="s">
        <v>209</v>
      </c>
      <c r="J64" s="27">
        <v>25</v>
      </c>
      <c r="K64" s="27" t="s">
        <v>103</v>
      </c>
      <c r="L64" s="27" t="s">
        <v>103</v>
      </c>
      <c r="M64" s="27" t="s">
        <v>47</v>
      </c>
      <c r="N64" s="28" t="s">
        <v>47</v>
      </c>
      <c r="O64" s="27" t="s">
        <v>225</v>
      </c>
      <c r="P64" s="28" t="s">
        <v>225</v>
      </c>
      <c r="Q64" s="27">
        <v>5</v>
      </c>
      <c r="R64" s="27">
        <v>6</v>
      </c>
      <c r="S64" s="27">
        <v>5</v>
      </c>
      <c r="T64" s="27">
        <v>6</v>
      </c>
      <c r="U64" s="28">
        <v>4</v>
      </c>
      <c r="V64" s="27">
        <v>5</v>
      </c>
      <c r="W64" s="27">
        <v>6</v>
      </c>
      <c r="X64" s="27">
        <v>5</v>
      </c>
      <c r="Y64" s="27">
        <v>6</v>
      </c>
      <c r="Z64" s="28">
        <v>4</v>
      </c>
      <c r="AA64" s="27">
        <v>1</v>
      </c>
      <c r="AB64" s="27">
        <v>6</v>
      </c>
      <c r="AC64" s="27">
        <v>1</v>
      </c>
      <c r="AD64" s="27" t="s">
        <v>41</v>
      </c>
      <c r="AE64" s="27" t="s">
        <v>41</v>
      </c>
      <c r="AF64" s="27" t="s">
        <v>41</v>
      </c>
      <c r="AG64" s="27" t="s">
        <v>41</v>
      </c>
      <c r="AH64" s="27" t="s">
        <v>41</v>
      </c>
      <c r="AI64" s="27">
        <v>7</v>
      </c>
      <c r="AJ64" s="27">
        <v>7</v>
      </c>
      <c r="AK64" s="28">
        <v>8</v>
      </c>
      <c r="AL64" s="27">
        <v>7</v>
      </c>
      <c r="AM64" s="27">
        <v>8</v>
      </c>
      <c r="AN64" s="28">
        <v>7</v>
      </c>
      <c r="AO64" s="86" t="s">
        <v>41</v>
      </c>
      <c r="AP64" s="28">
        <v>0</v>
      </c>
      <c r="AQ64" s="29">
        <f t="shared" si="51"/>
        <v>4.833333333333333</v>
      </c>
      <c r="AR64" s="30" t="str">
        <f t="shared" si="52"/>
        <v>Bench</v>
      </c>
      <c r="AS64" s="29">
        <f t="shared" si="53"/>
        <v>4.833333333333333</v>
      </c>
      <c r="AT64" s="29" t="str">
        <f t="shared" si="54"/>
        <v>Bench</v>
      </c>
      <c r="AU64" s="30">
        <f t="shared" si="55"/>
        <v>4.833333333333333</v>
      </c>
      <c r="AV64" s="30" t="str">
        <f t="shared" si="56"/>
        <v>Bench</v>
      </c>
      <c r="AW64" s="71">
        <f t="shared" si="57"/>
        <v>0</v>
      </c>
      <c r="AX64" s="72">
        <f t="shared" si="58"/>
        <v>0</v>
      </c>
      <c r="AY64" s="72">
        <f t="shared" si="59"/>
        <v>0</v>
      </c>
      <c r="AZ64" s="72">
        <f t="shared" si="60"/>
        <v>0</v>
      </c>
      <c r="BA64" s="72">
        <f t="shared" si="61"/>
        <v>0</v>
      </c>
      <c r="BB64" s="72">
        <f t="shared" si="62"/>
        <v>0</v>
      </c>
      <c r="BC64" s="72">
        <f t="shared" si="63"/>
        <v>0</v>
      </c>
      <c r="BD64" s="72">
        <f t="shared" si="64"/>
        <v>0</v>
      </c>
      <c r="BE64" s="28">
        <f t="shared" si="65"/>
        <v>0</v>
      </c>
      <c r="BF64" s="71">
        <f t="shared" si="66"/>
        <v>0</v>
      </c>
      <c r="BG64" s="72">
        <f t="shared" si="67"/>
        <v>0</v>
      </c>
      <c r="BH64" s="72">
        <f t="shared" si="68"/>
        <v>0</v>
      </c>
      <c r="BI64" s="72">
        <f t="shared" si="69"/>
        <v>0</v>
      </c>
      <c r="BJ64" s="72">
        <f t="shared" si="70"/>
        <v>0</v>
      </c>
      <c r="BK64" s="72">
        <f t="shared" si="71"/>
        <v>0</v>
      </c>
      <c r="BL64" s="72">
        <f t="shared" si="72"/>
        <v>0</v>
      </c>
      <c r="BM64" s="72">
        <f t="shared" si="73"/>
        <v>0</v>
      </c>
      <c r="BN64" s="28">
        <f t="shared" si="74"/>
        <v>0</v>
      </c>
      <c r="BO64" s="28">
        <f t="shared" si="75"/>
        <v>3</v>
      </c>
      <c r="BP64" s="31">
        <f t="shared" si="76"/>
        <v>2</v>
      </c>
      <c r="BQ64" s="27" t="str">
        <f t="shared" si="77"/>
        <v/>
      </c>
      <c r="BR64" s="91">
        <f>IF(Q64="-","-",VLOOKUP($G64,CTBat!$G$10:$AN$184,BR$9,FALSE)-Q64)</f>
        <v>0</v>
      </c>
      <c r="BS64" s="91">
        <f>IF(R64="-","-",VLOOKUP($G64,CTBat!$G$10:$AN$184,BS$9,FALSE)-R64)</f>
        <v>-1</v>
      </c>
      <c r="BT64" s="91">
        <f>IF(S64="-","-",VLOOKUP($G64,CTBat!$G$10:$AN$184,BT$9,FALSE)-S64)</f>
        <v>0</v>
      </c>
      <c r="BU64" s="91">
        <f>IF(T64="-","-",VLOOKUP($G64,CTBat!$G$10:$AN$184,BU$9,FALSE)-T64)</f>
        <v>-1</v>
      </c>
      <c r="BV64" s="91">
        <f>IF(U64="-","-",VLOOKUP($G64,CTBat!$G$10:$AN$184,BV$9,FALSE)-U64)</f>
        <v>-1</v>
      </c>
      <c r="BW64" s="91">
        <f>IF(V64="-","-",VLOOKUP($G64,CTBat!$G$10:$AN$184,BW$9,FALSE)-V64)</f>
        <v>0</v>
      </c>
      <c r="BX64" s="91">
        <f>IF(W64="-","-",VLOOKUP($G64,CTBat!$G$10:$AN$184,BX$9,FALSE)-W64)</f>
        <v>-1</v>
      </c>
      <c r="BY64" s="91">
        <f>IF(X64="-","-",VLOOKUP($G64,CTBat!$G$10:$AN$184,BY$9,FALSE)-X64)</f>
        <v>0</v>
      </c>
      <c r="BZ64" s="91">
        <f>IF(Y64="-","-",VLOOKUP($G64,CTBat!$G$10:$AN$184,BZ$9,FALSE)-Y64)</f>
        <v>-1</v>
      </c>
      <c r="CA64" s="91">
        <f>IF(Z64="-","-",VLOOKUP($G64,CTBat!$G$10:$AN$184,CA$9,FALSE)-Z64)</f>
        <v>-1</v>
      </c>
      <c r="CB64" s="91">
        <f>IF(AA64="-","-",VLOOKUP($G64,CTBat!$G$10:$AN$184,CB$9,FALSE)-AA64)</f>
        <v>0</v>
      </c>
      <c r="CC64" s="91">
        <f>IF(AB64="-","-",VLOOKUP($G64,CTBat!$G$10:$AN$184,CC$9,FALSE)-AB64)</f>
        <v>0</v>
      </c>
      <c r="CD64" s="91">
        <f>IF(AC64="-","-",VLOOKUP($G64,CTBat!$G$10:$AN$184,CD$9,FALSE)-AC64)</f>
        <v>0</v>
      </c>
      <c r="CE64" s="91" t="str">
        <f>IF(AD64="-","-",VLOOKUP($G64,CTBat!$G$10:$AN$184,CE$9,FALSE)-AD64)</f>
        <v>-</v>
      </c>
      <c r="CF64" s="91" t="str">
        <f>IF(AE64="-","-",VLOOKUP($G64,CTBat!$G$10:$AN$184,CF$9,FALSE)-AE64)</f>
        <v>-</v>
      </c>
      <c r="CG64" s="91" t="str">
        <f>IF(AF64="-","-",VLOOKUP($G64,CTBat!$G$10:$AN$184,CG$9,FALSE)-AF64)</f>
        <v>-</v>
      </c>
      <c r="CH64" s="91" t="str">
        <f>IF(AG64="-","-",VLOOKUP($G64,CTBat!$G$10:$AN$184,CH$9,FALSE)-AG64)</f>
        <v>-</v>
      </c>
      <c r="CI64" s="91" t="str">
        <f>IF(AH64="-","-",VLOOKUP($G64,CTBat!$G$10:$AN$184,CI$9,FALSE)-AH64)</f>
        <v>-</v>
      </c>
      <c r="CJ64" s="91">
        <f>IF(AI64="-","-",VLOOKUP($G64,CTBat!$G$10:$AN$184,CJ$9,FALSE)-AI64)</f>
        <v>0</v>
      </c>
      <c r="CK64" s="91">
        <f>IF(AJ64="-","-",VLOOKUP($G64,CTBat!$G$10:$AN$184,CK$9,FALSE)-AJ64)</f>
        <v>1</v>
      </c>
      <c r="CL64" s="91">
        <f>IF(AK64="-","-",VLOOKUP($G64,CTBat!$G$10:$AN$184,CL$9,FALSE)-AK64)</f>
        <v>0</v>
      </c>
      <c r="CM64" s="91">
        <f>IF(AL64="-","-",VLOOKUP($G64,CTBat!$G$10:$AN$184,CM$9,FALSE)-AL64)</f>
        <v>0</v>
      </c>
      <c r="CN64" s="91">
        <f>IF(AM64="-","-",VLOOKUP($G64,CTBat!$G$10:$AN$184,CN$9,FALSE)-AM64)</f>
        <v>0</v>
      </c>
      <c r="CO64" s="91">
        <f>IF(AN64="-","-",VLOOKUP($G64,CTBat!$G$10:$AN$184,CO$9,FALSE)-AN64)</f>
        <v>0</v>
      </c>
      <c r="CP64" s="91">
        <f t="shared" si="78"/>
        <v>-3</v>
      </c>
      <c r="CQ64" s="91">
        <f t="shared" si="79"/>
        <v>-3</v>
      </c>
      <c r="CR64" s="91">
        <f t="shared" si="80"/>
        <v>1</v>
      </c>
      <c r="CS64" s="91">
        <f t="shared" si="81"/>
        <v>0</v>
      </c>
      <c r="CT64" s="91">
        <f t="shared" si="82"/>
        <v>-5</v>
      </c>
    </row>
    <row r="65" spans="1:98">
      <c r="C65">
        <f t="shared" si="48"/>
        <v>9</v>
      </c>
      <c r="D65">
        <f t="shared" si="49"/>
        <v>9</v>
      </c>
      <c r="E65" t="str">
        <f t="shared" si="50"/>
        <v>K</v>
      </c>
      <c r="F65" t="s">
        <v>100</v>
      </c>
      <c r="G65" t="s">
        <v>518</v>
      </c>
      <c r="H65" t="s">
        <v>373</v>
      </c>
      <c r="I65" t="s">
        <v>210</v>
      </c>
      <c r="J65">
        <v>29</v>
      </c>
      <c r="K65" t="s">
        <v>104</v>
      </c>
      <c r="L65" t="s">
        <v>104</v>
      </c>
      <c r="M65" t="s">
        <v>47</v>
      </c>
      <c r="N65" s="215" t="s">
        <v>47</v>
      </c>
      <c r="O65" t="s">
        <v>223</v>
      </c>
      <c r="P65" s="215" t="s">
        <v>225</v>
      </c>
      <c r="Q65">
        <v>6</v>
      </c>
      <c r="R65">
        <v>5</v>
      </c>
      <c r="S65">
        <v>2</v>
      </c>
      <c r="T65">
        <v>5</v>
      </c>
      <c r="U65" s="215">
        <v>7</v>
      </c>
      <c r="V65">
        <v>6</v>
      </c>
      <c r="W65">
        <v>5</v>
      </c>
      <c r="X65">
        <v>2</v>
      </c>
      <c r="Y65">
        <v>5</v>
      </c>
      <c r="Z65" s="215">
        <v>7</v>
      </c>
      <c r="AA65">
        <v>1</v>
      </c>
      <c r="AB65">
        <v>7</v>
      </c>
      <c r="AC65">
        <v>1</v>
      </c>
      <c r="AD65" t="s">
        <v>41</v>
      </c>
      <c r="AE65" t="s">
        <v>41</v>
      </c>
      <c r="AF65" t="s">
        <v>41</v>
      </c>
      <c r="AG65" t="s">
        <v>41</v>
      </c>
      <c r="AH65" t="s">
        <v>41</v>
      </c>
      <c r="AI65">
        <v>9</v>
      </c>
      <c r="AJ65">
        <v>5</v>
      </c>
      <c r="AK65" s="215">
        <v>8</v>
      </c>
      <c r="AL65">
        <v>7</v>
      </c>
      <c r="AM65">
        <v>8</v>
      </c>
      <c r="AN65" s="215">
        <v>7</v>
      </c>
      <c r="AO65" s="85" t="s">
        <v>41</v>
      </c>
      <c r="AP65" s="215" t="s">
        <v>46</v>
      </c>
      <c r="AQ65" s="6">
        <f t="shared" si="51"/>
        <v>4.333333333333333</v>
      </c>
      <c r="AR65" s="9" t="str">
        <f t="shared" si="52"/>
        <v>Bench</v>
      </c>
      <c r="AS65" s="6">
        <f t="shared" si="53"/>
        <v>4.333333333333333</v>
      </c>
      <c r="AT65" s="6" t="str">
        <f t="shared" si="54"/>
        <v>Bench</v>
      </c>
      <c r="AU65" s="9">
        <f t="shared" si="55"/>
        <v>4.333333333333333</v>
      </c>
      <c r="AV65" s="9" t="str">
        <f t="shared" si="56"/>
        <v>Bench</v>
      </c>
      <c r="AW65" s="53">
        <f t="shared" si="57"/>
        <v>0</v>
      </c>
      <c r="AX65" s="214">
        <f t="shared" si="58"/>
        <v>0</v>
      </c>
      <c r="AY65" s="214">
        <f t="shared" si="59"/>
        <v>0</v>
      </c>
      <c r="AZ65" s="214">
        <f t="shared" si="60"/>
        <v>0</v>
      </c>
      <c r="BA65" s="214">
        <f t="shared" si="61"/>
        <v>0</v>
      </c>
      <c r="BB65" s="214">
        <f t="shared" si="62"/>
        <v>0</v>
      </c>
      <c r="BC65" s="214">
        <f t="shared" si="63"/>
        <v>0</v>
      </c>
      <c r="BD65" s="214">
        <f t="shared" si="64"/>
        <v>0</v>
      </c>
      <c r="BE65" s="215">
        <f t="shared" si="65"/>
        <v>1</v>
      </c>
      <c r="BF65" s="53">
        <f t="shared" si="66"/>
        <v>0</v>
      </c>
      <c r="BG65" s="214">
        <f t="shared" si="67"/>
        <v>0</v>
      </c>
      <c r="BH65" s="214">
        <f t="shared" si="68"/>
        <v>0</v>
      </c>
      <c r="BI65" s="214">
        <f t="shared" si="69"/>
        <v>0</v>
      </c>
      <c r="BJ65" s="214">
        <f t="shared" si="70"/>
        <v>0</v>
      </c>
      <c r="BK65" s="214">
        <f t="shared" si="71"/>
        <v>0</v>
      </c>
      <c r="BL65" s="214">
        <f t="shared" si="72"/>
        <v>0</v>
      </c>
      <c r="BM65" s="214">
        <f t="shared" si="73"/>
        <v>0</v>
      </c>
      <c r="BN65" s="215">
        <f t="shared" si="74"/>
        <v>1</v>
      </c>
      <c r="BO65" s="215">
        <f t="shared" si="75"/>
        <v>3</v>
      </c>
      <c r="BP65" s="7">
        <f t="shared" si="76"/>
        <v>2</v>
      </c>
      <c r="BQ65" t="str">
        <f t="shared" si="77"/>
        <v/>
      </c>
      <c r="BR65" s="91">
        <f>IF(Q65="-","-",VLOOKUP($G65,CTBat!$G$10:$AN$184,BR$9,FALSE)-Q65)</f>
        <v>-1</v>
      </c>
      <c r="BS65" s="91">
        <f>IF(R65="-","-",VLOOKUP($G65,CTBat!$G$10:$AN$184,BS$9,FALSE)-R65)</f>
        <v>-2</v>
      </c>
      <c r="BT65" s="91">
        <f>IF(S65="-","-",VLOOKUP($G65,CTBat!$G$10:$AN$184,BT$9,FALSE)-S65)</f>
        <v>0</v>
      </c>
      <c r="BU65" s="91">
        <f>IF(T65="-","-",VLOOKUP($G65,CTBat!$G$10:$AN$184,BU$9,FALSE)-T65)</f>
        <v>0</v>
      </c>
      <c r="BV65" s="91">
        <f>IF(U65="-","-",VLOOKUP($G65,CTBat!$G$10:$AN$184,BV$9,FALSE)-U65)</f>
        <v>0</v>
      </c>
      <c r="BW65" s="91">
        <f>IF(V65="-","-",VLOOKUP($G65,CTBat!$G$10:$AN$184,BW$9,FALSE)-V65)</f>
        <v>-1</v>
      </c>
      <c r="BX65" s="91">
        <f>IF(W65="-","-",VLOOKUP($G65,CTBat!$G$10:$AN$184,BX$9,FALSE)-W65)</f>
        <v>-2</v>
      </c>
      <c r="BY65" s="91">
        <f>IF(X65="-","-",VLOOKUP($G65,CTBat!$G$10:$AN$184,BY$9,FALSE)-X65)</f>
        <v>0</v>
      </c>
      <c r="BZ65" s="91">
        <f>IF(Y65="-","-",VLOOKUP($G65,CTBat!$G$10:$AN$184,BZ$9,FALSE)-Y65)</f>
        <v>0</v>
      </c>
      <c r="CA65" s="91">
        <f>IF(Z65="-","-",VLOOKUP($G65,CTBat!$G$10:$AN$184,CA$9,FALSE)-Z65)</f>
        <v>0</v>
      </c>
      <c r="CB65" s="91">
        <f>IF(AA65="-","-",VLOOKUP($G65,CTBat!$G$10:$AN$184,CB$9,FALSE)-AA65)</f>
        <v>0</v>
      </c>
      <c r="CC65" s="91">
        <f>IF(AB65="-","-",VLOOKUP($G65,CTBat!$G$10:$AN$184,CC$9,FALSE)-AB65)</f>
        <v>0</v>
      </c>
      <c r="CD65" s="91">
        <f>IF(AC65="-","-",VLOOKUP($G65,CTBat!$G$10:$AN$184,CD$9,FALSE)-AC65)</f>
        <v>0</v>
      </c>
      <c r="CE65" s="91" t="str">
        <f>IF(AD65="-","-",VLOOKUP($G65,CTBat!$G$10:$AN$184,CE$9,FALSE)-AD65)</f>
        <v>-</v>
      </c>
      <c r="CF65" s="91" t="str">
        <f>IF(AE65="-","-",VLOOKUP($G65,CTBat!$G$10:$AN$184,CF$9,FALSE)-AE65)</f>
        <v>-</v>
      </c>
      <c r="CG65" s="91" t="str">
        <f>IF(AF65="-","-",VLOOKUP($G65,CTBat!$G$10:$AN$184,CG$9,FALSE)-AF65)</f>
        <v>-</v>
      </c>
      <c r="CH65" s="91" t="str">
        <f>IF(AG65="-","-",VLOOKUP($G65,CTBat!$G$10:$AN$184,CH$9,FALSE)-AG65)</f>
        <v>-</v>
      </c>
      <c r="CI65" s="91" t="str">
        <f>IF(AH65="-","-",VLOOKUP($G65,CTBat!$G$10:$AN$184,CI$9,FALSE)-AH65)</f>
        <v>-</v>
      </c>
      <c r="CJ65" s="91">
        <f>IF(AI65="-","-",VLOOKUP($G65,CTBat!$G$10:$AN$184,CJ$9,FALSE)-AI65)</f>
        <v>0</v>
      </c>
      <c r="CK65" s="91">
        <f>IF(AJ65="-","-",VLOOKUP($G65,CTBat!$G$10:$AN$184,CK$9,FALSE)-AJ65)</f>
        <v>0</v>
      </c>
      <c r="CL65" s="91">
        <f>IF(AK65="-","-",VLOOKUP($G65,CTBat!$G$10:$AN$184,CL$9,FALSE)-AK65)</f>
        <v>0</v>
      </c>
      <c r="CM65" s="91">
        <f>IF(AL65="-","-",VLOOKUP($G65,CTBat!$G$10:$AN$184,CM$9,FALSE)-AL65)</f>
        <v>0</v>
      </c>
      <c r="CN65" s="91">
        <f>IF(AM65="-","-",VLOOKUP($G65,CTBat!$G$10:$AN$184,CN$9,FALSE)-AM65)</f>
        <v>0</v>
      </c>
      <c r="CO65" s="91">
        <f>IF(AN65="-","-",VLOOKUP($G65,CTBat!$G$10:$AN$184,CO$9,FALSE)-AN65)</f>
        <v>0</v>
      </c>
      <c r="CP65" s="91">
        <f t="shared" si="78"/>
        <v>-3</v>
      </c>
      <c r="CQ65" s="91">
        <f t="shared" si="79"/>
        <v>-3</v>
      </c>
      <c r="CR65" s="91">
        <f t="shared" si="80"/>
        <v>0</v>
      </c>
      <c r="CS65" s="91">
        <f t="shared" si="81"/>
        <v>0</v>
      </c>
      <c r="CT65" s="91">
        <f t="shared" si="82"/>
        <v>-6</v>
      </c>
    </row>
    <row r="66" spans="1:98">
      <c r="AO66" s="85"/>
      <c r="AQ66" s="6"/>
      <c r="AR66" s="9"/>
      <c r="AS66" s="6"/>
      <c r="AT66" s="6"/>
      <c r="AU66" s="9"/>
      <c r="AV66" s="9"/>
      <c r="BO66" s="3"/>
      <c r="BP66" s="7"/>
    </row>
    <row r="67" spans="1:98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328"/>
      <c r="O67" s="91"/>
      <c r="P67" s="328"/>
      <c r="Q67" s="91"/>
      <c r="R67" s="91"/>
      <c r="S67" s="91"/>
      <c r="T67" s="91"/>
      <c r="U67" s="328"/>
      <c r="V67" s="91"/>
      <c r="W67" s="91"/>
      <c r="X67" s="91"/>
      <c r="Y67" s="91"/>
      <c r="Z67" s="328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328"/>
      <c r="AL67" s="91"/>
      <c r="AM67" s="91"/>
      <c r="AN67" s="328"/>
      <c r="AO67" s="92"/>
      <c r="AP67" s="328"/>
      <c r="AQ67" s="93"/>
      <c r="AR67" s="94"/>
      <c r="AS67" s="93"/>
      <c r="AT67" s="93"/>
      <c r="AU67" s="94"/>
      <c r="AV67" s="94"/>
      <c r="AW67" s="326"/>
      <c r="AX67" s="327"/>
      <c r="AY67" s="327"/>
      <c r="AZ67" s="327"/>
      <c r="BA67" s="327"/>
      <c r="BB67" s="327"/>
      <c r="BC67" s="327"/>
      <c r="BD67" s="327"/>
      <c r="BE67" s="328"/>
      <c r="BF67" s="326"/>
      <c r="BG67" s="327"/>
      <c r="BH67" s="327"/>
      <c r="BI67" s="327"/>
      <c r="BJ67" s="327"/>
      <c r="BK67" s="327"/>
      <c r="BL67" s="327"/>
      <c r="BM67" s="327"/>
      <c r="BN67" s="328"/>
      <c r="BO67" s="328"/>
      <c r="BP67" s="96"/>
      <c r="BQ67" s="91"/>
    </row>
    <row r="68" spans="1:98">
      <c r="AO68" s="85"/>
      <c r="AQ68" s="6"/>
      <c r="AR68" s="9"/>
      <c r="AS68" s="6"/>
      <c r="AT68" s="6"/>
      <c r="AU68" s="9"/>
      <c r="AV68" s="9"/>
      <c r="BO68" s="3"/>
      <c r="BP68" s="7"/>
    </row>
    <row r="69" spans="1:98" s="105" customFormat="1">
      <c r="A69"/>
      <c r="B69"/>
      <c r="C69"/>
      <c r="D69"/>
      <c r="E69"/>
      <c r="F69"/>
      <c r="G69"/>
      <c r="H69"/>
      <c r="I69"/>
      <c r="J69"/>
      <c r="K69"/>
      <c r="L69"/>
      <c r="M69"/>
      <c r="N69" s="3"/>
      <c r="O69"/>
      <c r="P69" s="3"/>
      <c r="Q69"/>
      <c r="R69"/>
      <c r="S69"/>
      <c r="T69"/>
      <c r="U69" s="3"/>
      <c r="V69"/>
      <c r="W69"/>
      <c r="X69"/>
      <c r="Y69"/>
      <c r="Z69" s="3"/>
      <c r="AA69"/>
      <c r="AB69"/>
      <c r="AC69"/>
      <c r="AD69"/>
      <c r="AE69"/>
      <c r="AF69"/>
      <c r="AG69"/>
      <c r="AH69"/>
      <c r="AI69"/>
      <c r="AJ69"/>
      <c r="AK69" s="3"/>
      <c r="AL69"/>
      <c r="AM69"/>
      <c r="AN69" s="3"/>
      <c r="AO69" s="85"/>
      <c r="AP69" s="3"/>
      <c r="AQ69" s="6"/>
      <c r="AR69" s="9"/>
      <c r="AS69" s="6"/>
      <c r="AT69" s="6"/>
      <c r="AU69" s="9"/>
      <c r="AV69" s="9"/>
      <c r="AW69" s="53"/>
      <c r="AX69" s="5"/>
      <c r="AY69" s="5"/>
      <c r="AZ69" s="5"/>
      <c r="BA69" s="5"/>
      <c r="BB69" s="5"/>
      <c r="BC69" s="5"/>
      <c r="BD69" s="5"/>
      <c r="BE69" s="3"/>
      <c r="BF69" s="53"/>
      <c r="BG69" s="5"/>
      <c r="BH69" s="5"/>
      <c r="BI69" s="5"/>
      <c r="BJ69" s="5"/>
      <c r="BK69" s="5"/>
      <c r="BL69" s="5"/>
      <c r="BM69" s="5"/>
      <c r="BN69" s="3"/>
      <c r="BO69" s="3"/>
      <c r="BP69" s="7"/>
      <c r="BQ69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  <c r="CC69" s="91"/>
      <c r="CD69" s="91"/>
      <c r="CE69" s="91"/>
      <c r="CF69" s="91"/>
      <c r="CG69" s="91"/>
      <c r="CH69" s="91"/>
      <c r="CI69" s="91"/>
      <c r="CJ69" s="91"/>
      <c r="CK69" s="91"/>
      <c r="CL69" s="91"/>
      <c r="CM69" s="91"/>
      <c r="CN69" s="91"/>
      <c r="CO69" s="91"/>
      <c r="CP69" s="91"/>
      <c r="CQ69" s="91"/>
      <c r="CR69" s="91"/>
      <c r="CS69" s="91"/>
      <c r="CT69" s="91"/>
    </row>
    <row r="70" spans="1:98">
      <c r="AO70" s="85"/>
      <c r="AQ70" s="6"/>
      <c r="AR70" s="9"/>
      <c r="AS70" s="6"/>
      <c r="AT70" s="6"/>
      <c r="AU70" s="9"/>
      <c r="AV70" s="9"/>
      <c r="BO70" s="3"/>
      <c r="BP70" s="7"/>
    </row>
    <row r="71" spans="1:98">
      <c r="N71" s="222"/>
      <c r="P71" s="222"/>
      <c r="U71" s="222"/>
      <c r="Z71" s="222"/>
      <c r="AK71" s="222"/>
      <c r="AN71" s="222"/>
      <c r="AO71" s="85"/>
      <c r="AP71" s="222"/>
      <c r="AQ71" s="6"/>
      <c r="AR71" s="9"/>
      <c r="AS71" s="6"/>
      <c r="AT71" s="6"/>
      <c r="AU71" s="9"/>
      <c r="AV71" s="9"/>
      <c r="AX71" s="221"/>
      <c r="AY71" s="221"/>
      <c r="AZ71" s="221"/>
      <c r="BA71" s="221"/>
      <c r="BB71" s="221"/>
      <c r="BC71" s="221"/>
      <c r="BD71" s="221"/>
      <c r="BE71" s="222"/>
      <c r="BG71" s="221"/>
      <c r="BH71" s="221"/>
      <c r="BI71" s="221"/>
      <c r="BJ71" s="221"/>
      <c r="BK71" s="221"/>
      <c r="BL71" s="221"/>
      <c r="BM71" s="221"/>
      <c r="BN71" s="222"/>
      <c r="BO71" s="222"/>
      <c r="BP71" s="7"/>
    </row>
    <row r="72" spans="1:98">
      <c r="A72" s="91"/>
      <c r="B72" s="91"/>
      <c r="N72" s="222"/>
      <c r="P72" s="222"/>
      <c r="U72" s="222"/>
      <c r="Z72" s="222"/>
      <c r="AK72" s="222"/>
      <c r="AN72" s="222"/>
      <c r="AO72" s="85"/>
      <c r="AP72" s="222"/>
      <c r="AQ72" s="6"/>
      <c r="AR72" s="9"/>
      <c r="AS72" s="6"/>
      <c r="AT72" s="6"/>
      <c r="AU72" s="9"/>
      <c r="AV72" s="9"/>
      <c r="AX72" s="221"/>
      <c r="AY72" s="221"/>
      <c r="AZ72" s="221"/>
      <c r="BA72" s="221"/>
      <c r="BB72" s="221"/>
      <c r="BC72" s="221"/>
      <c r="BD72" s="221"/>
      <c r="BE72" s="222"/>
      <c r="BG72" s="221"/>
      <c r="BH72" s="221"/>
      <c r="BI72" s="221"/>
      <c r="BJ72" s="221"/>
      <c r="BK72" s="221"/>
      <c r="BL72" s="221"/>
      <c r="BM72" s="221"/>
      <c r="BN72" s="222"/>
      <c r="BO72" s="222"/>
      <c r="BP72" s="7"/>
    </row>
    <row r="73" spans="1:98">
      <c r="A73" s="91"/>
      <c r="B73" s="91"/>
      <c r="N73" s="222"/>
      <c r="P73" s="222"/>
      <c r="U73" s="222"/>
      <c r="Z73" s="222"/>
      <c r="AK73" s="222"/>
      <c r="AN73" s="222"/>
      <c r="AO73" s="85"/>
      <c r="AP73" s="222"/>
      <c r="AQ73" s="6"/>
      <c r="AR73" s="9"/>
      <c r="AS73" s="6"/>
      <c r="AT73" s="6"/>
      <c r="AU73" s="9"/>
      <c r="AV73" s="9"/>
      <c r="AX73" s="221"/>
      <c r="AY73" s="221"/>
      <c r="AZ73" s="221"/>
      <c r="BA73" s="221"/>
      <c r="BB73" s="221"/>
      <c r="BC73" s="221"/>
      <c r="BD73" s="221"/>
      <c r="BE73" s="222"/>
      <c r="BG73" s="221"/>
      <c r="BH73" s="221"/>
      <c r="BI73" s="221"/>
      <c r="BJ73" s="221"/>
      <c r="BK73" s="221"/>
      <c r="BL73" s="221"/>
      <c r="BM73" s="221"/>
      <c r="BN73" s="222"/>
      <c r="BO73" s="222"/>
      <c r="BP73" s="7"/>
    </row>
    <row r="74" spans="1:98">
      <c r="N74" s="222"/>
      <c r="P74" s="222"/>
      <c r="U74" s="222"/>
      <c r="Z74" s="222"/>
      <c r="AK74" s="222"/>
      <c r="AN74" s="222"/>
      <c r="AO74" s="85"/>
      <c r="AP74" s="222"/>
      <c r="AQ74" s="6"/>
      <c r="AR74" s="9"/>
      <c r="AS74" s="6"/>
      <c r="AT74" s="6"/>
      <c r="AU74" s="9"/>
      <c r="AV74" s="9"/>
      <c r="AX74" s="221"/>
      <c r="AY74" s="221"/>
      <c r="AZ74" s="221"/>
      <c r="BA74" s="221"/>
      <c r="BB74" s="221"/>
      <c r="BC74" s="221"/>
      <c r="BD74" s="221"/>
      <c r="BE74" s="222"/>
      <c r="BG74" s="221"/>
      <c r="BH74" s="221"/>
      <c r="BI74" s="221"/>
      <c r="BJ74" s="221"/>
      <c r="BK74" s="221"/>
      <c r="BL74" s="221"/>
      <c r="BM74" s="221"/>
      <c r="BN74" s="222"/>
      <c r="BO74" s="222"/>
      <c r="BP74" s="7"/>
    </row>
    <row r="75" spans="1:98">
      <c r="N75" s="222"/>
      <c r="P75" s="222"/>
      <c r="U75" s="222"/>
      <c r="Z75" s="222"/>
      <c r="AK75" s="222"/>
      <c r="AN75" s="222"/>
      <c r="AP75" s="222"/>
      <c r="AQ75" s="6"/>
      <c r="AR75" s="9"/>
      <c r="AS75" s="6"/>
      <c r="AT75" s="6"/>
      <c r="AU75" s="9"/>
      <c r="AV75" s="9"/>
      <c r="AX75" s="221"/>
      <c r="AY75" s="221"/>
      <c r="AZ75" s="221"/>
      <c r="BA75" s="221"/>
      <c r="BB75" s="221"/>
      <c r="BC75" s="221"/>
      <c r="BD75" s="221"/>
      <c r="BE75" s="222"/>
      <c r="BG75" s="221"/>
      <c r="BH75" s="221"/>
      <c r="BI75" s="221"/>
      <c r="BJ75" s="221"/>
      <c r="BK75" s="221"/>
      <c r="BL75" s="221"/>
      <c r="BM75" s="221"/>
      <c r="BN75" s="222"/>
      <c r="BO75" s="222"/>
      <c r="BP75" s="7"/>
    </row>
    <row r="76" spans="1:98">
      <c r="N76" s="222"/>
      <c r="P76" s="222"/>
      <c r="U76" s="222"/>
      <c r="Z76" s="222"/>
      <c r="AK76" s="222"/>
      <c r="AN76" s="222"/>
      <c r="AO76" s="85"/>
      <c r="AP76" s="222"/>
      <c r="AQ76" s="6"/>
      <c r="AR76" s="9"/>
      <c r="AS76" s="6"/>
      <c r="AT76" s="6"/>
      <c r="AU76" s="9"/>
      <c r="AV76" s="9"/>
      <c r="AX76" s="221"/>
      <c r="AY76" s="221"/>
      <c r="AZ76" s="221"/>
      <c r="BA76" s="221"/>
      <c r="BB76" s="221"/>
      <c r="BC76" s="221"/>
      <c r="BD76" s="221"/>
      <c r="BE76" s="222"/>
      <c r="BG76" s="221"/>
      <c r="BH76" s="221"/>
      <c r="BI76" s="221"/>
      <c r="BJ76" s="221"/>
      <c r="BK76" s="221"/>
      <c r="BL76" s="221"/>
      <c r="BM76" s="221"/>
      <c r="BN76" s="222"/>
      <c r="BO76" s="222"/>
      <c r="BP76" s="7"/>
    </row>
    <row r="77" spans="1:98">
      <c r="N77" s="222"/>
      <c r="P77" s="222"/>
      <c r="U77" s="222"/>
      <c r="Z77" s="222"/>
      <c r="AK77" s="222"/>
      <c r="AN77" s="222"/>
      <c r="AO77" s="85"/>
      <c r="AP77" s="222"/>
      <c r="AQ77" s="6"/>
      <c r="AR77" s="9"/>
      <c r="AS77" s="6"/>
      <c r="AT77" s="6"/>
      <c r="AU77" s="9"/>
      <c r="AV77" s="9"/>
      <c r="AX77" s="221"/>
      <c r="AY77" s="221"/>
      <c r="AZ77" s="221"/>
      <c r="BA77" s="221"/>
      <c r="BB77" s="221"/>
      <c r="BC77" s="221"/>
      <c r="BD77" s="221"/>
      <c r="BE77" s="222"/>
      <c r="BG77" s="221"/>
      <c r="BH77" s="221"/>
      <c r="BI77" s="221"/>
      <c r="BJ77" s="221"/>
      <c r="BK77" s="221"/>
      <c r="BL77" s="221"/>
      <c r="BM77" s="221"/>
      <c r="BN77" s="222"/>
      <c r="BO77" s="222"/>
      <c r="BP77" s="7"/>
    </row>
    <row r="78" spans="1:98">
      <c r="N78" s="222"/>
      <c r="P78" s="222"/>
      <c r="U78" s="222"/>
      <c r="Z78" s="222"/>
      <c r="AK78" s="222"/>
      <c r="AN78" s="222"/>
      <c r="AO78" s="85"/>
      <c r="AP78" s="222"/>
      <c r="AQ78" s="6"/>
      <c r="AR78" s="9"/>
      <c r="AS78" s="6"/>
      <c r="AT78" s="6"/>
      <c r="AU78" s="9"/>
      <c r="AV78" s="9"/>
      <c r="AX78" s="221"/>
      <c r="AY78" s="221"/>
      <c r="AZ78" s="221"/>
      <c r="BA78" s="221"/>
      <c r="BB78" s="221"/>
      <c r="BC78" s="221"/>
      <c r="BD78" s="221"/>
      <c r="BE78" s="222"/>
      <c r="BG78" s="221"/>
      <c r="BH78" s="221"/>
      <c r="BI78" s="221"/>
      <c r="BJ78" s="221"/>
      <c r="BK78" s="221"/>
      <c r="BL78" s="221"/>
      <c r="BM78" s="221"/>
      <c r="BN78" s="222"/>
      <c r="BO78" s="222"/>
      <c r="BP78" s="7"/>
    </row>
    <row r="79" spans="1:98">
      <c r="N79" s="222"/>
      <c r="P79" s="222"/>
      <c r="U79" s="222"/>
      <c r="Z79" s="222"/>
      <c r="AK79" s="222"/>
      <c r="AN79" s="222"/>
      <c r="AO79" s="85"/>
      <c r="AP79" s="222"/>
      <c r="AQ79" s="6"/>
      <c r="AR79" s="9"/>
      <c r="AS79" s="6"/>
      <c r="AT79" s="6"/>
      <c r="AU79" s="9"/>
      <c r="AV79" s="9"/>
      <c r="AX79" s="268"/>
      <c r="AY79" s="268"/>
      <c r="AZ79" s="268"/>
      <c r="BA79" s="268"/>
      <c r="BB79" s="268"/>
      <c r="BC79" s="268"/>
      <c r="BD79" s="268"/>
      <c r="BE79" s="269"/>
      <c r="BG79" s="268"/>
      <c r="BH79" s="268"/>
      <c r="BI79" s="268"/>
      <c r="BJ79" s="268"/>
      <c r="BK79" s="268"/>
      <c r="BL79" s="268"/>
      <c r="BM79" s="268"/>
      <c r="BN79" s="269"/>
      <c r="BO79" s="269"/>
      <c r="BP79" s="7"/>
    </row>
    <row r="80" spans="1:98">
      <c r="N80" s="222"/>
      <c r="P80" s="222"/>
      <c r="U80" s="222"/>
      <c r="Z80" s="222"/>
      <c r="AK80" s="222"/>
      <c r="AN80" s="222"/>
      <c r="AO80" s="85"/>
      <c r="AP80" s="222"/>
      <c r="AQ80" s="6"/>
      <c r="AR80" s="9"/>
      <c r="AS80" s="6"/>
      <c r="AT80" s="6"/>
      <c r="AU80" s="9"/>
      <c r="AV80" s="9"/>
      <c r="AX80" s="268"/>
      <c r="AY80" s="268"/>
      <c r="AZ80" s="268"/>
      <c r="BA80" s="268"/>
      <c r="BB80" s="268"/>
      <c r="BC80" s="268"/>
      <c r="BD80" s="268"/>
      <c r="BE80" s="269"/>
      <c r="BG80" s="268"/>
      <c r="BH80" s="268"/>
      <c r="BI80" s="268"/>
      <c r="BJ80" s="268"/>
      <c r="BK80" s="268"/>
      <c r="BL80" s="268"/>
      <c r="BM80" s="268"/>
      <c r="BN80" s="269"/>
      <c r="BO80" s="269"/>
      <c r="BP80" s="7"/>
    </row>
    <row r="81" spans="14:68">
      <c r="N81" s="222"/>
      <c r="P81" s="222"/>
      <c r="U81" s="222"/>
      <c r="Z81" s="222"/>
      <c r="AK81" s="222"/>
      <c r="AN81" s="222"/>
      <c r="AO81" s="85"/>
      <c r="AP81" s="222"/>
      <c r="AQ81" s="6"/>
      <c r="AR81" s="9"/>
      <c r="AS81" s="6"/>
      <c r="AT81" s="6"/>
      <c r="AU81" s="9"/>
      <c r="AV81" s="9"/>
      <c r="AX81" s="268"/>
      <c r="AY81" s="268"/>
      <c r="AZ81" s="268"/>
      <c r="BA81" s="268"/>
      <c r="BB81" s="268"/>
      <c r="BC81" s="268"/>
      <c r="BD81" s="268"/>
      <c r="BE81" s="269"/>
      <c r="BG81" s="268"/>
      <c r="BH81" s="268"/>
      <c r="BI81" s="268"/>
      <c r="BJ81" s="268"/>
      <c r="BK81" s="268"/>
      <c r="BL81" s="268"/>
      <c r="BM81" s="268"/>
      <c r="BN81" s="269"/>
      <c r="BO81" s="269"/>
      <c r="BP81" s="7"/>
    </row>
    <row r="82" spans="14:68">
      <c r="N82" s="222"/>
      <c r="P82" s="222"/>
      <c r="U82" s="222"/>
      <c r="Z82" s="222"/>
      <c r="AK82" s="222"/>
      <c r="AN82" s="222"/>
      <c r="AO82" s="85"/>
      <c r="AP82" s="222"/>
      <c r="AQ82" s="6"/>
      <c r="AR82" s="9"/>
      <c r="AS82" s="6"/>
      <c r="AT82" s="6"/>
      <c r="AU82" s="9"/>
      <c r="AV82" s="9"/>
      <c r="AX82" s="268"/>
      <c r="AY82" s="268"/>
      <c r="AZ82" s="268"/>
      <c r="BA82" s="268"/>
      <c r="BB82" s="268"/>
      <c r="BC82" s="268"/>
      <c r="BD82" s="268"/>
      <c r="BE82" s="269"/>
      <c r="BG82" s="268"/>
      <c r="BH82" s="268"/>
      <c r="BI82" s="268"/>
      <c r="BJ82" s="268"/>
      <c r="BK82" s="268"/>
      <c r="BL82" s="268"/>
      <c r="BM82" s="268"/>
      <c r="BN82" s="269"/>
      <c r="BO82" s="269"/>
      <c r="BP82" s="7"/>
    </row>
    <row r="83" spans="14:68">
      <c r="N83" s="222"/>
      <c r="P83" s="222"/>
      <c r="U83" s="222"/>
      <c r="Z83" s="222"/>
      <c r="AK83" s="222"/>
      <c r="AN83" s="222"/>
      <c r="AP83" s="222"/>
      <c r="AQ83" s="6"/>
      <c r="AR83" s="9"/>
      <c r="AS83" s="6"/>
      <c r="AT83" s="6"/>
      <c r="AU83" s="9"/>
      <c r="AV83" s="9"/>
      <c r="AX83" s="268"/>
      <c r="AY83" s="268"/>
      <c r="AZ83" s="268"/>
      <c r="BA83" s="268"/>
      <c r="BB83" s="268"/>
      <c r="BC83" s="268"/>
      <c r="BD83" s="268"/>
      <c r="BE83" s="269"/>
      <c r="BG83" s="268"/>
      <c r="BH83" s="268"/>
      <c r="BI83" s="268"/>
      <c r="BJ83" s="268"/>
      <c r="BK83" s="268"/>
      <c r="BL83" s="268"/>
      <c r="BM83" s="268"/>
      <c r="BN83" s="269"/>
      <c r="BO83" s="269"/>
      <c r="BP83" s="7"/>
    </row>
    <row r="84" spans="14:68">
      <c r="N84" s="222"/>
      <c r="P84" s="222"/>
      <c r="U84" s="222"/>
      <c r="Z84" s="222"/>
      <c r="AK84" s="222"/>
      <c r="AN84" s="222"/>
      <c r="AO84" s="85"/>
      <c r="AP84" s="222"/>
      <c r="AQ84" s="6"/>
      <c r="AR84" s="9"/>
      <c r="AS84" s="6"/>
      <c r="AT84" s="6"/>
      <c r="AU84" s="9"/>
      <c r="AV84" s="9"/>
      <c r="AX84" s="268"/>
      <c r="AY84" s="268"/>
      <c r="AZ84" s="268"/>
      <c r="BA84" s="268"/>
      <c r="BB84" s="268"/>
      <c r="BC84" s="268"/>
      <c r="BD84" s="268"/>
      <c r="BE84" s="269"/>
      <c r="BG84" s="268"/>
      <c r="BH84" s="268"/>
      <c r="BI84" s="268"/>
      <c r="BJ84" s="268"/>
      <c r="BK84" s="268"/>
      <c r="BL84" s="268"/>
      <c r="BM84" s="268"/>
      <c r="BN84" s="269"/>
      <c r="BO84" s="269"/>
      <c r="BP84" s="7"/>
    </row>
    <row r="85" spans="14:68">
      <c r="AO85" s="85"/>
      <c r="AQ85" s="6"/>
      <c r="AR85" s="9"/>
      <c r="AS85" s="6"/>
      <c r="AT85" s="6"/>
      <c r="AU85" s="9"/>
      <c r="AV85" s="9"/>
      <c r="AX85" s="268"/>
      <c r="AY85" s="268"/>
      <c r="AZ85" s="268"/>
      <c r="BA85" s="268"/>
      <c r="BB85" s="268"/>
      <c r="BC85" s="268"/>
      <c r="BD85" s="268"/>
      <c r="BE85" s="269"/>
      <c r="BG85" s="268"/>
      <c r="BH85" s="268"/>
      <c r="BI85" s="268"/>
      <c r="BJ85" s="268"/>
      <c r="BK85" s="268"/>
      <c r="BL85" s="268"/>
      <c r="BM85" s="268"/>
      <c r="BN85" s="269"/>
      <c r="BO85" s="269"/>
      <c r="BP85" s="7"/>
    </row>
    <row r="86" spans="14:68">
      <c r="AO86" s="85"/>
      <c r="AQ86" s="6"/>
      <c r="AR86" s="9"/>
      <c r="AS86" s="6"/>
      <c r="AT86" s="6"/>
      <c r="AU86" s="9"/>
      <c r="AV86" s="9"/>
      <c r="AX86" s="268"/>
      <c r="AY86" s="268"/>
      <c r="AZ86" s="268"/>
      <c r="BA86" s="268"/>
      <c r="BB86" s="268"/>
      <c r="BC86" s="268"/>
      <c r="BD86" s="268"/>
      <c r="BE86" s="269"/>
      <c r="BG86" s="268"/>
      <c r="BH86" s="268"/>
      <c r="BI86" s="268"/>
      <c r="BJ86" s="268"/>
      <c r="BK86" s="268"/>
      <c r="BL86" s="268"/>
      <c r="BM86" s="268"/>
      <c r="BN86" s="269"/>
      <c r="BO86" s="269"/>
      <c r="BP86" s="7"/>
    </row>
    <row r="87" spans="14:68">
      <c r="AO87" s="85"/>
      <c r="AQ87" s="6"/>
      <c r="AR87" s="9"/>
      <c r="AS87" s="6"/>
      <c r="AT87" s="6"/>
      <c r="AU87" s="9"/>
      <c r="AV87" s="9"/>
      <c r="AX87" s="268"/>
      <c r="AY87" s="268"/>
      <c r="AZ87" s="268"/>
      <c r="BA87" s="268"/>
      <c r="BB87" s="268"/>
      <c r="BC87" s="268"/>
      <c r="BD87" s="268"/>
      <c r="BE87" s="269"/>
      <c r="BG87" s="268"/>
      <c r="BH87" s="268"/>
      <c r="BI87" s="268"/>
      <c r="BJ87" s="268"/>
      <c r="BK87" s="268"/>
      <c r="BL87" s="268"/>
      <c r="BM87" s="268"/>
      <c r="BN87" s="269"/>
      <c r="BO87" s="269"/>
      <c r="BP87" s="7"/>
    </row>
    <row r="88" spans="14:68">
      <c r="AO88" s="85"/>
      <c r="AQ88" s="6"/>
      <c r="AR88" s="9"/>
      <c r="AS88" s="6"/>
      <c r="AT88" s="6"/>
      <c r="AU88" s="9"/>
      <c r="AV88" s="9"/>
      <c r="AX88" s="268"/>
      <c r="AY88" s="268"/>
      <c r="AZ88" s="268"/>
      <c r="BA88" s="268"/>
      <c r="BB88" s="268"/>
      <c r="BC88" s="268"/>
      <c r="BD88" s="268"/>
      <c r="BE88" s="269"/>
      <c r="BG88" s="268"/>
      <c r="BH88" s="268"/>
      <c r="BI88" s="268"/>
      <c r="BJ88" s="268"/>
      <c r="BK88" s="268"/>
      <c r="BL88" s="268"/>
      <c r="BM88" s="268"/>
      <c r="BN88" s="269"/>
      <c r="BO88" s="269"/>
      <c r="BP88" s="7"/>
    </row>
    <row r="89" spans="14:68">
      <c r="AQ89" s="6"/>
      <c r="AR89" s="9"/>
      <c r="AS89" s="6"/>
      <c r="AT89" s="6"/>
      <c r="AU89" s="9"/>
      <c r="AV89" s="9"/>
      <c r="AW89" s="315"/>
      <c r="AX89" s="313"/>
      <c r="AY89" s="313"/>
      <c r="AZ89" s="313"/>
      <c r="BA89" s="313"/>
      <c r="BB89" s="313"/>
      <c r="BC89" s="313"/>
      <c r="BD89" s="313"/>
      <c r="BE89" s="314"/>
      <c r="BF89" s="315"/>
      <c r="BG89" s="313"/>
      <c r="BH89" s="313"/>
      <c r="BI89" s="313"/>
      <c r="BJ89" s="313"/>
      <c r="BK89" s="313"/>
      <c r="BL89" s="313"/>
      <c r="BM89" s="313"/>
      <c r="BN89" s="314"/>
      <c r="BO89" s="314"/>
      <c r="BP89" s="7"/>
    </row>
  </sheetData>
  <sortState ref="A11:CT89">
    <sortCondition descending="1" ref="CT11:CT89"/>
    <sortCondition descending="1" ref="AS11:AS89"/>
  </sortState>
  <conditionalFormatting sqref="M11:N70">
    <cfRule type="expression" dxfId="2" priority="2">
      <formula>IF(M11&lt;&gt;"1 star",1,0)</formula>
    </cfRule>
  </conditionalFormatting>
  <conditionalFormatting sqref="M71:N84">
    <cfRule type="expression" dxfId="1" priority="1">
      <formula>IF(M71&lt;&gt;"1 star",1,0)</formula>
    </cfRule>
  </conditionalFormatting>
  <pageMargins left="0.75" right="0.75" top="1" bottom="1" header="0.5" footer="0.5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published="0" codeName="Sheet12">
    <tabColor theme="9"/>
  </sheetPr>
  <dimension ref="A1:CK92"/>
  <sheetViews>
    <sheetView zoomScale="85" zoomScaleNormal="85" workbookViewId="0">
      <pane xSplit="10" ySplit="10" topLeftCell="K11" activePane="bottomRight" state="frozenSplit"/>
      <selection pane="topRight" activeCell="H1" sqref="H1"/>
      <selection pane="bottomLeft" activeCell="A2" sqref="A2"/>
      <selection pane="bottomRight" activeCell="D11" sqref="D11"/>
    </sheetView>
  </sheetViews>
  <sheetFormatPr defaultColWidth="11.42578125" defaultRowHeight="15"/>
  <cols>
    <col min="1" max="1" width="5" bestFit="1" customWidth="1"/>
    <col min="2" max="2" width="6.5703125" bestFit="1" customWidth="1"/>
    <col min="3" max="3" width="3.85546875" bestFit="1" customWidth="1"/>
    <col min="4" max="4" width="4.7109375" bestFit="1" customWidth="1"/>
    <col min="5" max="5" width="19.5703125" bestFit="1" customWidth="1"/>
    <col min="6" max="6" width="5" bestFit="1" customWidth="1"/>
    <col min="7" max="7" width="4.85546875" bestFit="1" customWidth="1"/>
    <col min="8" max="8" width="4.42578125" style="3" bestFit="1" customWidth="1"/>
    <col min="9" max="10" width="2.28515625" bestFit="1" customWidth="1"/>
    <col min="11" max="11" width="7.140625" bestFit="1" customWidth="1"/>
    <col min="12" max="12" width="7.140625" style="3" bestFit="1" customWidth="1"/>
    <col min="13" max="14" width="9.7109375" bestFit="1" customWidth="1"/>
    <col min="15" max="15" width="4.5703125" style="3" bestFit="1" customWidth="1"/>
    <col min="16" max="16" width="5.5703125" bestFit="1" customWidth="1"/>
    <col min="17" max="17" width="5" bestFit="1" customWidth="1"/>
    <col min="18" max="18" width="6" style="3" bestFit="1" customWidth="1"/>
    <col min="19" max="19" width="7.140625" bestFit="1" customWidth="1"/>
    <col min="20" max="20" width="6.5703125" bestFit="1" customWidth="1"/>
    <col min="21" max="21" width="3.28515625" bestFit="1" customWidth="1"/>
    <col min="22" max="22" width="4.28515625" bestFit="1" customWidth="1"/>
    <col min="23" max="23" width="3.5703125" bestFit="1" customWidth="1"/>
    <col min="24" max="24" width="4.5703125" bestFit="1" customWidth="1"/>
    <col min="25" max="25" width="3.28515625" bestFit="1" customWidth="1"/>
    <col min="26" max="26" width="4.42578125" bestFit="1" customWidth="1"/>
    <col min="27" max="27" width="3" bestFit="1" customWidth="1"/>
    <col min="28" max="28" width="4" bestFit="1" customWidth="1"/>
    <col min="29" max="29" width="2.7109375" bestFit="1" customWidth="1"/>
    <col min="30" max="30" width="3.7109375" bestFit="1" customWidth="1"/>
    <col min="31" max="31" width="3.140625" bestFit="1" customWidth="1"/>
    <col min="32" max="32" width="4.28515625" bestFit="1" customWidth="1"/>
    <col min="33" max="33" width="3.140625" bestFit="1" customWidth="1"/>
    <col min="34" max="34" width="4.28515625" bestFit="1" customWidth="1"/>
    <col min="35" max="35" width="3.5703125" bestFit="1" customWidth="1"/>
    <col min="36" max="36" width="4.5703125" bestFit="1" customWidth="1"/>
    <col min="37" max="37" width="3.28515625" bestFit="1" customWidth="1"/>
    <col min="38" max="38" width="4.42578125" bestFit="1" customWidth="1"/>
    <col min="39" max="39" width="3.140625" bestFit="1" customWidth="1"/>
    <col min="40" max="40" width="4.28515625" bestFit="1" customWidth="1"/>
    <col min="41" max="41" width="3.28515625" bestFit="1" customWidth="1"/>
    <col min="42" max="42" width="4.42578125" style="3" bestFit="1" customWidth="1"/>
    <col min="43" max="43" width="3.7109375" bestFit="1" customWidth="1"/>
    <col min="44" max="44" width="4.7109375" bestFit="1" customWidth="1"/>
    <col min="45" max="45" width="10.42578125" style="3" bestFit="1" customWidth="1"/>
    <col min="46" max="46" width="5.7109375" bestFit="1" customWidth="1"/>
    <col min="47" max="47" width="5.140625" style="3" bestFit="1" customWidth="1"/>
    <col min="48" max="48" width="12.5703125" bestFit="1" customWidth="1"/>
    <col min="49" max="49" width="9.5703125" style="5" bestFit="1" customWidth="1"/>
    <col min="50" max="50" width="9.140625" style="5" bestFit="1" customWidth="1"/>
    <col min="51" max="51" width="9" style="5" bestFit="1" customWidth="1"/>
    <col min="52" max="52" width="11.5703125" bestFit="1" customWidth="1"/>
    <col min="53" max="53" width="11.42578125" style="5"/>
    <col min="54" max="54" width="7.42578125" style="5" bestFit="1" customWidth="1"/>
    <col min="55" max="55" width="3.7109375" style="5" bestFit="1" customWidth="1"/>
    <col min="57" max="58" width="4.5703125" bestFit="1" customWidth="1"/>
    <col min="59" max="59" width="5.5703125" bestFit="1" customWidth="1"/>
    <col min="60" max="60" width="5" bestFit="1" customWidth="1"/>
    <col min="61" max="61" width="6" bestFit="1" customWidth="1"/>
    <col min="62" max="62" width="7.140625" bestFit="1" customWidth="1"/>
    <col min="63" max="64" width="6.5703125" bestFit="1" customWidth="1"/>
    <col min="65" max="65" width="4.28515625" bestFit="1" customWidth="1"/>
    <col min="66" max="66" width="3.5703125" bestFit="1" customWidth="1"/>
    <col min="67" max="67" width="4.5703125" bestFit="1" customWidth="1"/>
    <col min="68" max="68" width="3.28515625" bestFit="1" customWidth="1"/>
    <col min="69" max="69" width="4.42578125" bestFit="1" customWidth="1"/>
    <col min="70" max="70" width="3.140625" bestFit="1" customWidth="1"/>
    <col min="71" max="71" width="4" bestFit="1" customWidth="1"/>
    <col min="72" max="72" width="3.140625" bestFit="1" customWidth="1"/>
    <col min="73" max="73" width="3.7109375" bestFit="1" customWidth="1"/>
    <col min="74" max="74" width="3.140625" bestFit="1" customWidth="1"/>
    <col min="75" max="75" width="4.28515625" bestFit="1" customWidth="1"/>
    <col min="76" max="76" width="3.140625" bestFit="1" customWidth="1"/>
    <col min="77" max="77" width="4.28515625" bestFit="1" customWidth="1"/>
    <col min="78" max="78" width="3.5703125" bestFit="1" customWidth="1"/>
    <col min="79" max="79" width="4.5703125" bestFit="1" customWidth="1"/>
    <col min="80" max="80" width="3.28515625" bestFit="1" customWidth="1"/>
    <col min="81" max="81" width="4.42578125" bestFit="1" customWidth="1"/>
    <col min="82" max="82" width="3.140625" bestFit="1" customWidth="1"/>
    <col min="83" max="83" width="4.28515625" bestFit="1" customWidth="1"/>
    <col min="84" max="84" width="3.28515625" bestFit="1" customWidth="1"/>
    <col min="85" max="85" width="4.42578125" bestFit="1" customWidth="1"/>
    <col min="86" max="86" width="3.7109375" bestFit="1" customWidth="1"/>
    <col min="87" max="87" width="4.7109375" bestFit="1" customWidth="1"/>
    <col min="88" max="88" width="3.85546875" bestFit="1" customWidth="1"/>
  </cols>
  <sheetData>
    <row r="1" spans="1:89" s="91" customFormat="1">
      <c r="A1"/>
      <c r="B1" t="s">
        <v>146</v>
      </c>
      <c r="C1" t="s">
        <v>101</v>
      </c>
      <c r="D1"/>
      <c r="E1" t="s">
        <v>218</v>
      </c>
      <c r="F1" t="s">
        <v>217</v>
      </c>
      <c r="G1" t="s">
        <v>219</v>
      </c>
      <c r="H1"/>
      <c r="I1"/>
      <c r="J1"/>
      <c r="K1"/>
      <c r="L1" s="3"/>
      <c r="M1"/>
      <c r="N1" s="3"/>
      <c r="O1"/>
      <c r="P1"/>
      <c r="Q1"/>
      <c r="R1"/>
      <c r="S1" s="3"/>
      <c r="T1"/>
      <c r="U1"/>
      <c r="V1"/>
      <c r="W1"/>
      <c r="X1" s="3"/>
      <c r="Y1"/>
      <c r="Z1"/>
      <c r="AA1"/>
      <c r="AB1"/>
      <c r="AC1"/>
      <c r="AD1"/>
      <c r="AE1"/>
      <c r="AF1"/>
      <c r="AG1"/>
      <c r="AH1"/>
      <c r="AI1" s="3"/>
      <c r="AJ1"/>
      <c r="AK1"/>
      <c r="AL1" s="3"/>
      <c r="AM1"/>
      <c r="AN1" s="3"/>
      <c r="AO1"/>
      <c r="AP1" s="5"/>
      <c r="AQ1"/>
      <c r="AR1"/>
      <c r="AS1"/>
      <c r="AT1"/>
      <c r="AU1" s="53"/>
      <c r="AV1" s="5"/>
      <c r="AW1" s="5"/>
      <c r="AX1" s="5"/>
      <c r="AY1" s="5"/>
      <c r="AZ1" s="5"/>
      <c r="BA1" s="5"/>
      <c r="BB1" s="5"/>
      <c r="BC1" s="3"/>
      <c r="BD1" s="53"/>
      <c r="BE1" s="5"/>
      <c r="BF1" s="5"/>
      <c r="BG1" s="5"/>
      <c r="BH1" s="5"/>
      <c r="BI1" s="5"/>
      <c r="BJ1" s="5"/>
      <c r="BK1" s="5"/>
      <c r="BL1" s="3"/>
      <c r="BM1"/>
      <c r="BN1"/>
      <c r="BO1"/>
    </row>
    <row r="2" spans="1:89">
      <c r="A2" t="s">
        <v>207</v>
      </c>
      <c r="B2">
        <f>COUNTIF($A$11:$A$196,"=ML")</f>
        <v>0</v>
      </c>
      <c r="C2" s="91">
        <f>VLOOKUP($A2,CTBat!$A$2:$B$8,2,FALSE)</f>
        <v>15</v>
      </c>
      <c r="D2">
        <v>25</v>
      </c>
      <c r="E2" s="106">
        <f>B2/$D2</f>
        <v>0</v>
      </c>
      <c r="F2" s="97">
        <f>C2/$D2</f>
        <v>0.6</v>
      </c>
      <c r="G2" s="106">
        <f>(B2+C2)/$D2</f>
        <v>0.6</v>
      </c>
      <c r="H2"/>
      <c r="N2" s="3"/>
      <c r="O2"/>
      <c r="R2"/>
      <c r="S2" s="3"/>
      <c r="X2" s="3"/>
      <c r="AI2" s="3"/>
      <c r="AL2" s="3"/>
      <c r="AN2" s="3"/>
      <c r="AP2" s="5"/>
      <c r="AS2"/>
      <c r="AU2" s="53"/>
      <c r="AV2" s="5"/>
      <c r="AZ2" s="5"/>
      <c r="BC2" s="3"/>
      <c r="BD2" s="53"/>
      <c r="BE2" s="5"/>
      <c r="BF2" s="5"/>
      <c r="BG2" s="5"/>
      <c r="BH2" s="5"/>
      <c r="BI2" s="5"/>
      <c r="BJ2" s="5"/>
      <c r="BK2" s="5"/>
      <c r="BL2" s="3"/>
    </row>
    <row r="3" spans="1:89">
      <c r="A3" t="s">
        <v>208</v>
      </c>
      <c r="B3">
        <f>COUNTIF($A$11:$A$196,"=AAA")</f>
        <v>0</v>
      </c>
      <c r="C3" s="91">
        <f>VLOOKUP($A3,CTBat!$A$2:$B$8,2,FALSE)</f>
        <v>4</v>
      </c>
      <c r="D3">
        <v>25</v>
      </c>
      <c r="E3" s="106">
        <f t="shared" ref="E3:F6" si="0">B3/$D3</f>
        <v>0</v>
      </c>
      <c r="F3" s="97">
        <f t="shared" si="0"/>
        <v>0.16</v>
      </c>
      <c r="G3" s="106">
        <f t="shared" ref="G3:G6" si="1">(B3+C3)/$D3</f>
        <v>0.16</v>
      </c>
      <c r="H3"/>
      <c r="N3" s="3"/>
      <c r="O3"/>
      <c r="R3"/>
      <c r="S3" s="3"/>
      <c r="X3" s="3"/>
      <c r="AI3" s="3"/>
      <c r="AL3" s="3"/>
      <c r="AN3" s="3"/>
      <c r="AP3" s="5"/>
      <c r="AS3"/>
      <c r="AU3" s="53"/>
      <c r="AV3" s="5"/>
      <c r="AZ3" s="5"/>
      <c r="BC3" s="3"/>
      <c r="BD3" s="53"/>
      <c r="BE3" s="5"/>
      <c r="BF3" s="5"/>
      <c r="BG3" s="5"/>
      <c r="BH3" s="5"/>
      <c r="BI3" s="5"/>
      <c r="BJ3" s="5"/>
      <c r="BK3" s="5"/>
      <c r="BL3" s="3"/>
    </row>
    <row r="4" spans="1:89">
      <c r="A4" t="s">
        <v>209</v>
      </c>
      <c r="B4">
        <f>COUNTIF($A$11:$A$196,"=AA")</f>
        <v>0</v>
      </c>
      <c r="C4" s="91">
        <f>VLOOKUP($A4,CTBat!$A$2:$B$8,2,FALSE)</f>
        <v>5</v>
      </c>
      <c r="D4">
        <v>25</v>
      </c>
      <c r="E4" s="106">
        <f t="shared" si="0"/>
        <v>0</v>
      </c>
      <c r="F4" s="97">
        <f t="shared" si="0"/>
        <v>0.2</v>
      </c>
      <c r="G4" s="106">
        <f t="shared" si="1"/>
        <v>0.2</v>
      </c>
      <c r="H4"/>
      <c r="N4" s="3"/>
      <c r="O4"/>
      <c r="R4"/>
      <c r="S4" s="3"/>
      <c r="X4" s="3"/>
      <c r="AI4" s="3"/>
      <c r="AL4" s="3"/>
      <c r="AN4" s="3"/>
      <c r="AP4" s="5"/>
      <c r="AS4"/>
      <c r="AU4" s="53"/>
      <c r="AV4" s="5"/>
      <c r="AZ4" s="5"/>
      <c r="BC4" s="3"/>
      <c r="BD4" s="53"/>
      <c r="BE4" s="5"/>
      <c r="BF4" s="5"/>
      <c r="BG4" s="5"/>
      <c r="BH4" s="5"/>
      <c r="BI4" s="5"/>
      <c r="BJ4" s="5"/>
      <c r="BK4" s="5"/>
      <c r="BL4" s="3"/>
    </row>
    <row r="5" spans="1:89">
      <c r="A5" t="s">
        <v>210</v>
      </c>
      <c r="B5">
        <f>COUNTIF($A$11:$A$196,"=A")</f>
        <v>0</v>
      </c>
      <c r="C5" s="91">
        <f>VLOOKUP($A5,CTBat!$A$2:$B$8,2,FALSE)</f>
        <v>4</v>
      </c>
      <c r="D5">
        <v>25</v>
      </c>
      <c r="E5" s="106">
        <f t="shared" si="0"/>
        <v>0</v>
      </c>
      <c r="F5" s="97">
        <f t="shared" si="0"/>
        <v>0.16</v>
      </c>
      <c r="G5" s="106">
        <f t="shared" si="1"/>
        <v>0.16</v>
      </c>
      <c r="H5"/>
      <c r="N5" s="3"/>
      <c r="O5"/>
      <c r="R5"/>
      <c r="S5" s="3"/>
      <c r="X5" s="3"/>
      <c r="AI5" s="3"/>
      <c r="AL5" s="3"/>
      <c r="AN5" s="3"/>
      <c r="AP5" s="5"/>
      <c r="AS5"/>
      <c r="AU5" s="53"/>
      <c r="AV5" s="5"/>
      <c r="AZ5" s="5"/>
      <c r="BC5" s="3"/>
      <c r="BD5" s="53"/>
      <c r="BE5" s="5"/>
      <c r="BF5" s="5"/>
      <c r="BG5" s="5"/>
      <c r="BH5" s="5"/>
      <c r="BI5" s="5"/>
      <c r="BJ5" s="5"/>
      <c r="BK5" s="5"/>
      <c r="BL5" s="3"/>
    </row>
    <row r="6" spans="1:89">
      <c r="A6" t="s">
        <v>320</v>
      </c>
      <c r="B6">
        <f>COUNTIF($A$11:$A$196,"=SS-A")</f>
        <v>0</v>
      </c>
      <c r="C6" s="91" t="e">
        <f>VLOOKUP($A6,CTBat!$A$2:$B$8,2,FALSE)</f>
        <v>#N/A</v>
      </c>
      <c r="D6">
        <v>35</v>
      </c>
      <c r="E6" s="106">
        <f t="shared" si="0"/>
        <v>0</v>
      </c>
      <c r="F6" s="97" t="e">
        <f t="shared" si="0"/>
        <v>#N/A</v>
      </c>
      <c r="G6" s="106" t="e">
        <f t="shared" si="1"/>
        <v>#N/A</v>
      </c>
      <c r="H6"/>
      <c r="N6" s="3"/>
      <c r="O6"/>
      <c r="R6"/>
      <c r="S6" s="3"/>
      <c r="X6" s="3"/>
      <c r="AI6" s="3"/>
      <c r="AL6" s="3"/>
      <c r="AN6" s="3"/>
      <c r="AP6" s="5"/>
      <c r="AS6"/>
      <c r="AU6" s="53"/>
      <c r="AV6" s="5"/>
      <c r="AZ6" s="5"/>
      <c r="BC6" s="3"/>
      <c r="BD6" s="53"/>
      <c r="BE6" s="5"/>
      <c r="BF6" s="5"/>
      <c r="BG6" s="5"/>
      <c r="BH6" s="5"/>
      <c r="BI6" s="5"/>
      <c r="BJ6" s="5"/>
      <c r="BK6" s="5"/>
      <c r="BL6" s="3"/>
    </row>
    <row r="7" spans="1:89" s="91" customFormat="1">
      <c r="A7" t="s">
        <v>215</v>
      </c>
      <c r="B7">
        <f>COUNTBLANK($A$11:$A$196)-COUNTBLANK($G$11:$G$196)</f>
        <v>82</v>
      </c>
      <c r="C7" s="91">
        <f>VLOOKUP($A7,CTBat!$A$2:$B$8,2,FALSE)</f>
        <v>36</v>
      </c>
      <c r="D7" s="97"/>
      <c r="E7" s="106"/>
      <c r="F7" s="97"/>
      <c r="G7" s="106"/>
      <c r="H7"/>
      <c r="I7"/>
      <c r="J7"/>
      <c r="K7"/>
      <c r="L7" s="3"/>
      <c r="M7"/>
      <c r="N7" s="3"/>
      <c r="O7"/>
      <c r="P7"/>
      <c r="Q7"/>
      <c r="R7"/>
      <c r="S7" s="3"/>
      <c r="T7"/>
      <c r="U7"/>
      <c r="V7"/>
      <c r="W7"/>
      <c r="X7" s="3"/>
      <c r="Y7"/>
      <c r="Z7"/>
      <c r="AA7"/>
      <c r="AB7"/>
      <c r="AC7"/>
      <c r="AD7"/>
      <c r="AE7"/>
      <c r="AF7"/>
      <c r="AG7"/>
      <c r="AH7"/>
      <c r="AI7" s="3"/>
      <c r="AJ7"/>
      <c r="AK7"/>
      <c r="AL7" s="3"/>
      <c r="AM7"/>
      <c r="AN7" s="3"/>
      <c r="AO7"/>
      <c r="AP7" s="5"/>
      <c r="AQ7"/>
      <c r="AR7"/>
      <c r="AS7"/>
      <c r="AT7"/>
      <c r="AU7" s="53"/>
      <c r="AV7" s="5"/>
      <c r="AW7" s="5"/>
      <c r="AX7" s="5"/>
      <c r="AY7" s="5"/>
      <c r="AZ7" s="5"/>
      <c r="BA7" s="5"/>
      <c r="BB7" s="5"/>
      <c r="BC7" s="3"/>
      <c r="BD7" s="53"/>
      <c r="BE7" s="5"/>
      <c r="BF7" s="5"/>
      <c r="BG7" s="5"/>
      <c r="BH7" s="5"/>
      <c r="BI7" s="5"/>
      <c r="BJ7" s="5"/>
      <c r="BK7" s="5"/>
      <c r="BL7" s="3"/>
      <c r="BM7"/>
      <c r="BN7"/>
      <c r="BO7"/>
    </row>
    <row r="8" spans="1:89" s="91" customFormat="1">
      <c r="A8" t="s">
        <v>216</v>
      </c>
      <c r="B8">
        <f>SUM(B2:B7)</f>
        <v>82</v>
      </c>
      <c r="C8" t="e">
        <f>SUM(C2:C7)</f>
        <v>#N/A</v>
      </c>
      <c r="D8">
        <f>SUM(D2:D7)</f>
        <v>135</v>
      </c>
      <c r="E8" s="106">
        <f t="shared" ref="E8:F8" si="2">B8/$D8</f>
        <v>0.6074074074074074</v>
      </c>
      <c r="F8" s="97" t="e">
        <f t="shared" si="2"/>
        <v>#N/A</v>
      </c>
      <c r="G8" s="106" t="e">
        <f t="shared" ref="G8" si="3">(B8+C8)/$D8</f>
        <v>#N/A</v>
      </c>
      <c r="H8"/>
      <c r="I8"/>
      <c r="J8"/>
      <c r="K8"/>
      <c r="L8" s="3"/>
      <c r="M8"/>
      <c r="N8" s="3"/>
      <c r="O8"/>
      <c r="P8"/>
      <c r="Q8"/>
      <c r="R8"/>
      <c r="S8" s="3"/>
      <c r="T8"/>
      <c r="U8"/>
      <c r="V8"/>
      <c r="W8"/>
      <c r="X8" s="3"/>
      <c r="Y8"/>
      <c r="Z8"/>
      <c r="AA8"/>
      <c r="AB8"/>
      <c r="AC8"/>
      <c r="AD8"/>
      <c r="AE8"/>
      <c r="AF8"/>
      <c r="AG8"/>
      <c r="AH8"/>
      <c r="AI8" s="3"/>
      <c r="AJ8"/>
      <c r="AK8"/>
      <c r="AL8" s="3"/>
      <c r="AM8"/>
      <c r="AN8" s="3"/>
      <c r="AO8"/>
      <c r="AP8" s="5"/>
      <c r="AQ8"/>
      <c r="AR8"/>
      <c r="AS8"/>
      <c r="AT8"/>
      <c r="AU8" s="53"/>
      <c r="AV8" s="5"/>
      <c r="AW8" s="5"/>
      <c r="AX8" s="5"/>
      <c r="AY8" s="5"/>
      <c r="AZ8" s="5"/>
      <c r="BA8" s="5"/>
      <c r="BB8" s="5"/>
      <c r="BC8" s="3"/>
      <c r="BD8" s="53"/>
      <c r="BE8" s="5"/>
      <c r="BF8" s="5"/>
      <c r="BG8" s="214"/>
      <c r="BH8" s="214"/>
      <c r="BI8" s="214"/>
      <c r="BJ8" s="214"/>
      <c r="BK8" s="214"/>
      <c r="BL8" s="214"/>
      <c r="BM8" s="214"/>
      <c r="BN8" s="214"/>
      <c r="BO8" s="214"/>
      <c r="BP8" s="214"/>
      <c r="BQ8" s="214"/>
      <c r="BR8" s="214"/>
      <c r="BS8" s="214"/>
      <c r="BT8" s="214"/>
      <c r="BU8" s="214"/>
      <c r="BV8" s="214"/>
      <c r="BW8" s="214"/>
      <c r="BX8" s="214"/>
      <c r="BY8" s="214"/>
      <c r="BZ8" s="214"/>
      <c r="CA8" s="214"/>
      <c r="CB8" s="214"/>
      <c r="CC8" s="214"/>
      <c r="CD8" s="214"/>
      <c r="CE8" s="214"/>
      <c r="CF8" s="214"/>
      <c r="CG8" s="214"/>
      <c r="CH8" s="214"/>
      <c r="CI8" s="214"/>
    </row>
    <row r="9" spans="1:89">
      <c r="H9"/>
      <c r="L9"/>
      <c r="N9" s="3"/>
      <c r="O9"/>
      <c r="P9" s="3"/>
      <c r="R9"/>
      <c r="U9" s="3"/>
      <c r="Z9" s="3"/>
      <c r="AK9" s="3"/>
      <c r="AN9" s="3"/>
      <c r="AR9" s="5"/>
      <c r="AS9"/>
      <c r="AU9"/>
      <c r="AW9" s="53"/>
      <c r="AZ9" s="5"/>
      <c r="BD9" s="5"/>
      <c r="BE9" s="3"/>
      <c r="BF9" s="53"/>
      <c r="BG9" s="91">
        <v>11</v>
      </c>
      <c r="BH9" s="91">
        <v>12</v>
      </c>
      <c r="BI9" s="91">
        <v>13</v>
      </c>
      <c r="BJ9" s="91">
        <v>14</v>
      </c>
      <c r="BK9" s="91">
        <v>15</v>
      </c>
      <c r="BL9" s="91">
        <v>16</v>
      </c>
      <c r="BM9" s="91">
        <v>17</v>
      </c>
      <c r="BN9" s="91">
        <v>18</v>
      </c>
      <c r="BO9" s="91">
        <v>19</v>
      </c>
      <c r="BP9" s="91">
        <v>20</v>
      </c>
      <c r="BQ9" s="91">
        <v>21</v>
      </c>
      <c r="BR9" s="91">
        <v>22</v>
      </c>
      <c r="BS9" s="91">
        <v>23</v>
      </c>
      <c r="BT9" s="91">
        <v>24</v>
      </c>
      <c r="BU9" s="91">
        <v>25</v>
      </c>
      <c r="BV9" s="91">
        <v>26</v>
      </c>
      <c r="BW9" s="91">
        <v>27</v>
      </c>
      <c r="BX9" s="91">
        <v>28</v>
      </c>
      <c r="BY9" s="91">
        <v>29</v>
      </c>
      <c r="BZ9" s="91">
        <v>30</v>
      </c>
      <c r="CA9" s="91">
        <v>31</v>
      </c>
      <c r="CB9" s="91">
        <v>32</v>
      </c>
      <c r="CC9" s="91">
        <v>33</v>
      </c>
      <c r="CD9" s="91">
        <v>34</v>
      </c>
      <c r="CE9" s="91">
        <v>35</v>
      </c>
      <c r="CF9" s="91">
        <v>36</v>
      </c>
      <c r="CG9" s="91">
        <v>37</v>
      </c>
      <c r="CH9" s="91">
        <v>38</v>
      </c>
      <c r="CI9" s="91">
        <v>39</v>
      </c>
      <c r="CJ9" s="91">
        <v>40</v>
      </c>
    </row>
    <row r="10" spans="1:89" s="1" customFormat="1">
      <c r="A10" s="1" t="s">
        <v>206</v>
      </c>
      <c r="B10" s="1" t="s">
        <v>211</v>
      </c>
      <c r="C10" s="1" t="s">
        <v>114</v>
      </c>
      <c r="D10" s="1" t="s">
        <v>55</v>
      </c>
      <c r="E10" s="1" t="s">
        <v>20</v>
      </c>
      <c r="F10" s="1" t="s">
        <v>374</v>
      </c>
      <c r="G10" s="1" t="s">
        <v>313</v>
      </c>
      <c r="H10" s="1" t="s">
        <v>91</v>
      </c>
      <c r="I10" s="1" t="s">
        <v>101</v>
      </c>
      <c r="J10" s="2" t="s">
        <v>102</v>
      </c>
      <c r="K10" s="1" t="s">
        <v>21</v>
      </c>
      <c r="L10" s="1" t="s">
        <v>22</v>
      </c>
      <c r="M10" s="1" t="s">
        <v>23</v>
      </c>
      <c r="N10" s="2" t="s">
        <v>24</v>
      </c>
      <c r="O10" s="1" t="s">
        <v>56</v>
      </c>
      <c r="P10" s="1" t="s">
        <v>57</v>
      </c>
      <c r="Q10" s="2" t="s">
        <v>25</v>
      </c>
      <c r="R10" s="1" t="s">
        <v>58</v>
      </c>
      <c r="S10" s="1" t="s">
        <v>59</v>
      </c>
      <c r="T10" s="2" t="s">
        <v>30</v>
      </c>
      <c r="U10" s="1" t="s">
        <v>60</v>
      </c>
      <c r="V10" s="1" t="s">
        <v>61</v>
      </c>
      <c r="W10" s="1" t="s">
        <v>62</v>
      </c>
      <c r="X10" s="1" t="s">
        <v>63</v>
      </c>
      <c r="Y10" s="1" t="s">
        <v>64</v>
      </c>
      <c r="Z10" s="1" t="s">
        <v>65</v>
      </c>
      <c r="AA10" s="1" t="s">
        <v>66</v>
      </c>
      <c r="AB10" s="1" t="s">
        <v>67</v>
      </c>
      <c r="AC10" s="1" t="s">
        <v>68</v>
      </c>
      <c r="AD10" s="1" t="s">
        <v>69</v>
      </c>
      <c r="AE10" s="1" t="s">
        <v>108</v>
      </c>
      <c r="AF10" s="1" t="s">
        <v>70</v>
      </c>
      <c r="AG10" s="1" t="s">
        <v>71</v>
      </c>
      <c r="AH10" s="1" t="s">
        <v>72</v>
      </c>
      <c r="AI10" s="1" t="s">
        <v>73</v>
      </c>
      <c r="AJ10" s="1" t="s">
        <v>74</v>
      </c>
      <c r="AK10" s="1" t="s">
        <v>75</v>
      </c>
      <c r="AL10" s="1" t="s">
        <v>76</v>
      </c>
      <c r="AM10" s="1" t="s">
        <v>77</v>
      </c>
      <c r="AN10" s="1" t="s">
        <v>78</v>
      </c>
      <c r="AO10" s="1" t="s">
        <v>79</v>
      </c>
      <c r="AP10" s="1" t="s">
        <v>80</v>
      </c>
      <c r="AQ10" s="1" t="s">
        <v>81</v>
      </c>
      <c r="AR10" s="2" t="s">
        <v>82</v>
      </c>
      <c r="AS10" s="1" t="s">
        <v>83</v>
      </c>
      <c r="AT10" s="1" t="s">
        <v>84</v>
      </c>
      <c r="AU10" s="2" t="s">
        <v>85</v>
      </c>
      <c r="AV10" s="1" t="s">
        <v>38</v>
      </c>
      <c r="AW10" s="2" t="s">
        <v>39</v>
      </c>
      <c r="AX10" s="1" t="s">
        <v>112</v>
      </c>
      <c r="AY10" s="4" t="s">
        <v>87</v>
      </c>
      <c r="AZ10" s="4" t="s">
        <v>113</v>
      </c>
      <c r="BA10" s="4" t="s">
        <v>87</v>
      </c>
      <c r="BB10" s="4" t="s">
        <v>86</v>
      </c>
      <c r="BC10" s="4" t="s">
        <v>89</v>
      </c>
      <c r="BD10" s="4" t="s">
        <v>189</v>
      </c>
      <c r="BE10" s="4" t="s">
        <v>202</v>
      </c>
      <c r="BF10" s="1" t="s">
        <v>115</v>
      </c>
      <c r="BG10" s="104" t="str">
        <f>O10</f>
        <v>STU</v>
      </c>
      <c r="BH10" s="104" t="str">
        <f>P10</f>
        <v>MOV</v>
      </c>
      <c r="BI10" s="104" t="str">
        <f t="shared" ref="BI10:CJ10" si="4">Q10</f>
        <v>CON</v>
      </c>
      <c r="BJ10" s="104" t="str">
        <f t="shared" si="4"/>
        <v>STU P</v>
      </c>
      <c r="BK10" s="104" t="str">
        <f t="shared" si="4"/>
        <v>MOV P</v>
      </c>
      <c r="BL10" s="104" t="str">
        <f t="shared" si="4"/>
        <v>CON P</v>
      </c>
      <c r="BM10" s="104" t="str">
        <f t="shared" si="4"/>
        <v>FB</v>
      </c>
      <c r="BN10" s="104" t="str">
        <f t="shared" si="4"/>
        <v>FBP</v>
      </c>
      <c r="BO10" s="104" t="str">
        <f t="shared" si="4"/>
        <v>CH</v>
      </c>
      <c r="BP10" s="104" t="str">
        <f t="shared" si="4"/>
        <v>CHP</v>
      </c>
      <c r="BQ10" s="104" t="str">
        <f t="shared" si="4"/>
        <v>CB</v>
      </c>
      <c r="BR10" s="104" t="str">
        <f t="shared" si="4"/>
        <v>CBP</v>
      </c>
      <c r="BS10" s="104" t="str">
        <f t="shared" si="4"/>
        <v>SL</v>
      </c>
      <c r="BT10" s="104" t="str">
        <f t="shared" si="4"/>
        <v>SLP</v>
      </c>
      <c r="BU10" s="104" t="str">
        <f t="shared" si="4"/>
        <v>SI</v>
      </c>
      <c r="BV10" s="104" t="str">
        <f t="shared" si="4"/>
        <v>SIP</v>
      </c>
      <c r="BW10" s="104" t="str">
        <f t="shared" si="4"/>
        <v>SP</v>
      </c>
      <c r="BX10" s="104" t="str">
        <f t="shared" si="4"/>
        <v>SPP</v>
      </c>
      <c r="BY10" s="104" t="str">
        <f t="shared" si="4"/>
        <v>CT</v>
      </c>
      <c r="BZ10" s="104" t="str">
        <f t="shared" si="4"/>
        <v>CTP</v>
      </c>
      <c r="CA10" s="104" t="str">
        <f t="shared" si="4"/>
        <v>FO</v>
      </c>
      <c r="CB10" s="104" t="str">
        <f t="shared" si="4"/>
        <v>FOP</v>
      </c>
      <c r="CC10" s="104" t="str">
        <f t="shared" si="4"/>
        <v>CC</v>
      </c>
      <c r="CD10" s="104" t="str">
        <f t="shared" si="4"/>
        <v>CCP</v>
      </c>
      <c r="CE10" s="104" t="str">
        <f t="shared" si="4"/>
        <v>SC</v>
      </c>
      <c r="CF10" s="104" t="str">
        <f t="shared" si="4"/>
        <v>SCP</v>
      </c>
      <c r="CG10" s="104" t="str">
        <f t="shared" si="4"/>
        <v>KC</v>
      </c>
      <c r="CH10" s="104" t="str">
        <f t="shared" si="4"/>
        <v>KCP</v>
      </c>
      <c r="CI10" s="104" t="str">
        <f t="shared" si="4"/>
        <v>KN</v>
      </c>
      <c r="CJ10" s="104" t="str">
        <f t="shared" si="4"/>
        <v>KNP</v>
      </c>
      <c r="CK10" s="1" t="s">
        <v>216</v>
      </c>
    </row>
    <row r="11" spans="1:89">
      <c r="C11" t="str">
        <f t="shared" ref="C11:C42" si="5">IF(OR(M11&gt;7,AND(M11&gt;4,N11&gt;5)),"K","T")</f>
        <v>K</v>
      </c>
      <c r="D11" t="s">
        <v>108</v>
      </c>
      <c r="E11" t="s">
        <v>4</v>
      </c>
      <c r="F11" t="s">
        <v>25</v>
      </c>
      <c r="G11" t="s">
        <v>207</v>
      </c>
      <c r="H11">
        <v>25</v>
      </c>
      <c r="I11" t="s">
        <v>104</v>
      </c>
      <c r="J11" s="3" t="s">
        <v>104</v>
      </c>
      <c r="K11" t="s">
        <v>48</v>
      </c>
      <c r="L11" t="s">
        <v>44</v>
      </c>
      <c r="M11" t="s">
        <v>223</v>
      </c>
      <c r="N11" s="3" t="s">
        <v>224</v>
      </c>
      <c r="O11">
        <v>8</v>
      </c>
      <c r="P11">
        <v>7</v>
      </c>
      <c r="Q11" s="3">
        <v>8</v>
      </c>
      <c r="R11">
        <v>8</v>
      </c>
      <c r="S11">
        <v>7</v>
      </c>
      <c r="T11" s="3">
        <v>8</v>
      </c>
      <c r="U11">
        <v>8</v>
      </c>
      <c r="V11">
        <v>8</v>
      </c>
      <c r="W11">
        <v>8</v>
      </c>
      <c r="X11">
        <v>8</v>
      </c>
      <c r="Y11" t="s">
        <v>41</v>
      </c>
      <c r="Z11" t="s">
        <v>41</v>
      </c>
      <c r="AA11">
        <v>8</v>
      </c>
      <c r="AB11">
        <v>8</v>
      </c>
      <c r="AC11">
        <v>7</v>
      </c>
      <c r="AD11">
        <v>7</v>
      </c>
      <c r="AE11" t="s">
        <v>41</v>
      </c>
      <c r="AF11" t="s">
        <v>41</v>
      </c>
      <c r="AG11" t="s">
        <v>41</v>
      </c>
      <c r="AH11" t="s">
        <v>41</v>
      </c>
      <c r="AI11" t="s">
        <v>41</v>
      </c>
      <c r="AJ11" t="s">
        <v>41</v>
      </c>
      <c r="AK11">
        <v>2</v>
      </c>
      <c r="AL11">
        <v>2</v>
      </c>
      <c r="AM11" t="s">
        <v>41</v>
      </c>
      <c r="AN11" t="s">
        <v>41</v>
      </c>
      <c r="AO11" t="s">
        <v>41</v>
      </c>
      <c r="AP11" t="s">
        <v>41</v>
      </c>
      <c r="AQ11" t="s">
        <v>41</v>
      </c>
      <c r="AR11" s="3" t="s">
        <v>41</v>
      </c>
      <c r="AS11" t="s">
        <v>5</v>
      </c>
      <c r="AT11">
        <v>7</v>
      </c>
      <c r="AU11" s="11">
        <v>0.61</v>
      </c>
      <c r="AV11" s="85">
        <v>8750000</v>
      </c>
      <c r="AW11" s="3" t="s">
        <v>46</v>
      </c>
      <c r="AX11" s="6">
        <f t="shared" ref="AX11:AX42" si="6">AVERAGE(O11:Q11)+0.25*MAX(0,(COUNT(U11,W11,Y11,AA11,AC11,AE11,AG11,AI11,AK11,AM11,AO11,AQ11)-3))+IF(AU11&gt;0.55,0.25,0)+IF(MAX(U11,W11,Y11,AA11,AC11,AE11,AG11,AI11,AK11,AM11,AO11,AQ11)&gt;5,0.25,0)</f>
        <v>8.6666666666666679</v>
      </c>
      <c r="AY11" s="9" t="str">
        <f t="shared" ref="AY11:AY42" si="7">IF(AX11&gt;9,"SuperStar",IF(AX11&gt;8,"Star",IF(AX11&gt;6.5,"GoodReg",IF(AX11&gt;5,"Reg",IF(AX11&gt;4,"Bench","Minors")))))</f>
        <v>Star</v>
      </c>
      <c r="AZ11" s="9">
        <f t="shared" ref="AZ11:AZ42" si="8">AVERAGE(R11:T11)+0.25*MAX(0,(COUNT(V11,X11,Z11,AB11,AD11,AF11,AH11,AJ11,AL11,AN11,AP11,AR11)-3))+IF(AU11&gt;0.55,0.25,0)+IF(MAX(V11,X11,Z11,AB11,AD11,AF11,AH11,AJ11,AL11,AN11,AP11,AR11)&gt;5,0.25,0)</f>
        <v>8.6666666666666679</v>
      </c>
      <c r="BA11" s="9" t="str">
        <f t="shared" ref="BA11:BA42" si="9">IF(AZ11&gt;9,"SuperStar",IF(AZ11&gt;8,"Star",IF(AZ11&gt;6.5,"GoodReg",IF(AZ11&gt;5,"Reg",IF(AZ11&gt;4,"Bench","Minors")))))</f>
        <v>Star</v>
      </c>
      <c r="BB11" s="9">
        <f t="shared" ref="BB11:BB42" si="10">MIN(AX11+(MAX(0,25-S11))^1.5,AZ11)</f>
        <v>8.6666666666666679</v>
      </c>
      <c r="BC11" s="9" t="str">
        <f t="shared" ref="BC11:BC42" si="11">IF(BB11&gt;9,"SuperStar",IF(BB11&gt;8,"Star",IF(BB11&gt;6.5,"GoodReg",IF(BB11&gt;5,"Reg",IF(BB11&gt;4,"Bench","Minors")))))</f>
        <v>Star</v>
      </c>
      <c r="BD11" s="84">
        <f t="shared" ref="BD11:BD42" si="12">COUNT(U11:AR11)/2</f>
        <v>5</v>
      </c>
      <c r="BE11" s="83">
        <f t="shared" ref="BE11:BE42" si="13">COUNTIF(U11:AR11,"&gt;5")/2</f>
        <v>4</v>
      </c>
      <c r="BF11" t="str">
        <f t="shared" ref="BF11:BF42" si="14">IF(AW11=1,"Yes","")</f>
        <v/>
      </c>
      <c r="BG11" s="91">
        <f>IF(O11="-","-",VLOOKUP($E11,CTPit!$E$10:$AW$175,BG$9,FALSE)-O11)</f>
        <v>0</v>
      </c>
      <c r="BH11" s="91">
        <f>IF(P11="-","-",VLOOKUP($E11,CTPit!$E$10:$AW$175,BH$9,FALSE)-P11)</f>
        <v>0</v>
      </c>
      <c r="BI11" s="91">
        <f>IF(Q11="-","-",VLOOKUP($E11,CTPit!$E$10:$AW$175,BI$9,FALSE)-Q11)</f>
        <v>0</v>
      </c>
      <c r="BJ11" s="91">
        <f>IF(R11="-","-",VLOOKUP($E11,CTPit!$E$10:$AW$175,BJ$9,FALSE)-R11)</f>
        <v>0</v>
      </c>
      <c r="BK11" s="91">
        <f>IF(S11="-","-",VLOOKUP($E11,CTPit!$E$10:$AW$175,BK$9,FALSE)-S11)</f>
        <v>0</v>
      </c>
      <c r="BL11" s="91">
        <f>IF(T11="-","-",VLOOKUP($E11,CTPit!$E$10:$AW$175,BL$9,FALSE)-T11)</f>
        <v>1</v>
      </c>
      <c r="BM11" s="91">
        <f>IF(U11="-","-",VLOOKUP($E11,CTPit!$E$10:$AW$175,BM$9,FALSE)-U11)</f>
        <v>0</v>
      </c>
      <c r="BN11" s="91">
        <f>IF(V11="-","-",VLOOKUP($E11,CTPit!$E$10:$AW$175,BN$9,FALSE)-V11)</f>
        <v>0</v>
      </c>
      <c r="BO11" s="91">
        <f>IF(W11="-","-",VLOOKUP($E11,CTPit!$E$10:$AW$175,BO$9,FALSE)-W11)</f>
        <v>0</v>
      </c>
      <c r="BP11" s="91">
        <f>IF(X11="-","-",VLOOKUP($E11,CTPit!$E$10:$AW$175,BP$9,FALSE)-X11)</f>
        <v>0</v>
      </c>
      <c r="BQ11" s="91" t="str">
        <f>IF(Y11="-","-",VLOOKUP($E11,CTPit!$E$10:$AW$175,BQ$9,FALSE)-Y11)</f>
        <v>-</v>
      </c>
      <c r="BR11" s="91" t="str">
        <f>IF(Z11="-","-",VLOOKUP($E11,CTPit!$E$10:$AW$175,BR$9,FALSE)-Z11)</f>
        <v>-</v>
      </c>
      <c r="BS11" s="91">
        <f>IF(AA11="-","-",VLOOKUP($E11,CTPit!$E$10:$AW$175,BS$9,FALSE)-AA11)</f>
        <v>0</v>
      </c>
      <c r="BT11" s="91">
        <f>IF(AB11="-","-",VLOOKUP($E11,CTPit!$E$10:$AW$175,BT$9,FALSE)-AB11)</f>
        <v>0</v>
      </c>
      <c r="BU11" s="91">
        <f>IF(AC11="-","-",VLOOKUP($E11,CTPit!$E$10:$AW$175,BU$9,FALSE)-AC11)</f>
        <v>1</v>
      </c>
      <c r="BV11" s="91">
        <f>IF(AD11="-","-",VLOOKUP($E11,CTPit!$E$10:$AW$175,BV$9,FALSE)-AD11)</f>
        <v>1</v>
      </c>
      <c r="BW11" s="91" t="str">
        <f>IF(AE11="-","-",VLOOKUP($E11,CTPit!$E$10:$AW$175,BW$9,FALSE)-AE11)</f>
        <v>-</v>
      </c>
      <c r="BX11" s="91" t="str">
        <f>IF(AF11="-","-",VLOOKUP($E11,CTPit!$E$10:$AW$175,BX$9,FALSE)-AF11)</f>
        <v>-</v>
      </c>
      <c r="BY11" s="91" t="str">
        <f>IF(AG11="-","-",VLOOKUP($E11,CTPit!$E$10:$AW$175,BY$9,FALSE)-AG11)</f>
        <v>-</v>
      </c>
      <c r="BZ11" s="91" t="str">
        <f>IF(AH11="-","-",VLOOKUP($E11,CTPit!$E$10:$AW$175,BZ$9,FALSE)-AH11)</f>
        <v>-</v>
      </c>
      <c r="CA11" s="91" t="str">
        <f>IF(AI11="-","-",VLOOKUP($E11,CTPit!$E$10:$AW$175,CA$9,FALSE)-AI11)</f>
        <v>-</v>
      </c>
      <c r="CB11" s="91" t="str">
        <f>IF(AJ11="-","-",VLOOKUP($E11,CTPit!$E$10:$AW$175,CB$9,FALSE)-AJ11)</f>
        <v>-</v>
      </c>
      <c r="CC11" s="91">
        <f>IF(AK11="-","-",VLOOKUP($E11,CTPit!$E$10:$AW$175,CC$9,FALSE)-AK11)</f>
        <v>0</v>
      </c>
      <c r="CD11" s="91">
        <f>IF(AL11="-","-",VLOOKUP($E11,CTPit!$E$10:$AW$175,CD$9,FALSE)-AL11)</f>
        <v>0</v>
      </c>
      <c r="CE11" s="91" t="str">
        <f>IF(AM11="-","-",VLOOKUP($E11,CTPit!$E$10:$AW$175,CE$9,FALSE)-AM11)</f>
        <v>-</v>
      </c>
      <c r="CF11" s="91" t="str">
        <f>IF(AN11="-","-",VLOOKUP($E11,CTPit!$E$10:$AW$175,CF$9,FALSE)-AN11)</f>
        <v>-</v>
      </c>
      <c r="CG11" s="91" t="str">
        <f>IF(AO11="-","-",VLOOKUP($E11,CTPit!$E$10:$AW$175,CG$9,FALSE)-AO11)</f>
        <v>-</v>
      </c>
      <c r="CH11" s="91" t="str">
        <f>IF(AP11="-","-",VLOOKUP($E11,CTPit!$E$10:$AW$175,CH$9,FALSE)-AP11)</f>
        <v>-</v>
      </c>
      <c r="CI11" s="91" t="str">
        <f>IF(AQ11="-","-",VLOOKUP($E11,CTPit!$E$10:$AW$175,CI$9,FALSE)-AQ11)</f>
        <v>-</v>
      </c>
      <c r="CJ11" s="91" t="str">
        <f>IF(AR11="-","-",VLOOKUP($E11,CTPit!$E$10:$AW$175,CJ$9,FALSE)-AR11)</f>
        <v>-</v>
      </c>
      <c r="CK11">
        <f t="shared" ref="CK11:CK42" si="15">SUM(BG11:CJ11)</f>
        <v>3</v>
      </c>
    </row>
    <row r="12" spans="1:89">
      <c r="C12" t="str">
        <f t="shared" si="5"/>
        <v>K</v>
      </c>
      <c r="D12" t="s">
        <v>108</v>
      </c>
      <c r="E12" t="s">
        <v>334</v>
      </c>
      <c r="F12" t="s">
        <v>25</v>
      </c>
      <c r="G12" t="s">
        <v>207</v>
      </c>
      <c r="H12">
        <v>25</v>
      </c>
      <c r="I12" t="s">
        <v>104</v>
      </c>
      <c r="J12" s="3" t="s">
        <v>104</v>
      </c>
      <c r="K12" t="s">
        <v>48</v>
      </c>
      <c r="L12" t="s">
        <v>48</v>
      </c>
      <c r="M12" t="s">
        <v>224</v>
      </c>
      <c r="N12" s="3" t="s">
        <v>224</v>
      </c>
      <c r="O12">
        <v>8</v>
      </c>
      <c r="P12">
        <v>6</v>
      </c>
      <c r="Q12" s="3">
        <v>6</v>
      </c>
      <c r="R12">
        <v>8</v>
      </c>
      <c r="S12">
        <v>6</v>
      </c>
      <c r="T12" s="3">
        <v>6</v>
      </c>
      <c r="U12">
        <v>9</v>
      </c>
      <c r="V12">
        <v>9</v>
      </c>
      <c r="W12">
        <v>8</v>
      </c>
      <c r="X12">
        <v>8</v>
      </c>
      <c r="Y12" t="s">
        <v>41</v>
      </c>
      <c r="Z12" t="s">
        <v>41</v>
      </c>
      <c r="AA12">
        <v>8</v>
      </c>
      <c r="AB12">
        <v>8</v>
      </c>
      <c r="AC12" t="s">
        <v>41</v>
      </c>
      <c r="AD12" t="s">
        <v>41</v>
      </c>
      <c r="AE12">
        <v>5</v>
      </c>
      <c r="AF12">
        <v>5</v>
      </c>
      <c r="AG12" t="s">
        <v>41</v>
      </c>
      <c r="AH12" t="s">
        <v>41</v>
      </c>
      <c r="AI12" t="s">
        <v>41</v>
      </c>
      <c r="AJ12" t="s">
        <v>41</v>
      </c>
      <c r="AK12" t="s">
        <v>41</v>
      </c>
      <c r="AL12" t="s">
        <v>41</v>
      </c>
      <c r="AM12" t="s">
        <v>41</v>
      </c>
      <c r="AN12" t="s">
        <v>41</v>
      </c>
      <c r="AO12" t="s">
        <v>41</v>
      </c>
      <c r="AP12" t="s">
        <v>41</v>
      </c>
      <c r="AQ12" t="s">
        <v>41</v>
      </c>
      <c r="AR12" s="3" t="s">
        <v>41</v>
      </c>
      <c r="AS12" t="s">
        <v>242</v>
      </c>
      <c r="AT12">
        <v>8</v>
      </c>
      <c r="AU12" s="11">
        <v>0.38</v>
      </c>
      <c r="AV12" s="85">
        <v>1900000</v>
      </c>
      <c r="AW12" s="3" t="s">
        <v>45</v>
      </c>
      <c r="AX12" s="6">
        <f t="shared" si="6"/>
        <v>7.166666666666667</v>
      </c>
      <c r="AY12" s="9" t="str">
        <f t="shared" si="7"/>
        <v>GoodReg</v>
      </c>
      <c r="AZ12" s="9">
        <f t="shared" si="8"/>
        <v>7.166666666666667</v>
      </c>
      <c r="BA12" s="9" t="str">
        <f t="shared" si="9"/>
        <v>GoodReg</v>
      </c>
      <c r="BB12" s="9">
        <f t="shared" si="10"/>
        <v>7.166666666666667</v>
      </c>
      <c r="BC12" s="9" t="str">
        <f t="shared" si="11"/>
        <v>GoodReg</v>
      </c>
      <c r="BD12" s="84">
        <f t="shared" si="12"/>
        <v>4</v>
      </c>
      <c r="BE12" s="83">
        <f t="shared" si="13"/>
        <v>3</v>
      </c>
      <c r="BF12" t="str">
        <f t="shared" si="14"/>
        <v/>
      </c>
      <c r="BG12" s="91">
        <f>IF(O12="-","-",VLOOKUP($E12,CTPit!$E$10:$AW$175,BG$9,FALSE)-O12)</f>
        <v>0</v>
      </c>
      <c r="BH12" s="91">
        <f>IF(P12="-","-",VLOOKUP($E12,CTPit!$E$10:$AW$175,BH$9,FALSE)-P12)</f>
        <v>0</v>
      </c>
      <c r="BI12" s="91">
        <f>IF(Q12="-","-",VLOOKUP($E12,CTPit!$E$10:$AW$175,BI$9,FALSE)-Q12)</f>
        <v>0</v>
      </c>
      <c r="BJ12" s="91">
        <f>IF(R12="-","-",VLOOKUP($E12,CTPit!$E$10:$AW$175,BJ$9,FALSE)-R12)</f>
        <v>0</v>
      </c>
      <c r="BK12" s="91">
        <f>IF(S12="-","-",VLOOKUP($E12,CTPit!$E$10:$AW$175,BK$9,FALSE)-S12)</f>
        <v>0</v>
      </c>
      <c r="BL12" s="91">
        <f>IF(T12="-","-",VLOOKUP($E12,CTPit!$E$10:$AW$175,BL$9,FALSE)-T12)</f>
        <v>1</v>
      </c>
      <c r="BM12" s="91">
        <f>IF(U12="-","-",VLOOKUP($E12,CTPit!$E$10:$AW$175,BM$9,FALSE)-U12)</f>
        <v>0</v>
      </c>
      <c r="BN12" s="91">
        <f>IF(V12="-","-",VLOOKUP($E12,CTPit!$E$10:$AW$175,BN$9,FALSE)-V12)</f>
        <v>0</v>
      </c>
      <c r="BO12" s="91">
        <f>IF(W12="-","-",VLOOKUP($E12,CTPit!$E$10:$AW$175,BO$9,FALSE)-W12)</f>
        <v>0</v>
      </c>
      <c r="BP12" s="91">
        <f>IF(X12="-","-",VLOOKUP($E12,CTPit!$E$10:$AW$175,BP$9,FALSE)-X12)</f>
        <v>0</v>
      </c>
      <c r="BQ12" s="91" t="str">
        <f>IF(Y12="-","-",VLOOKUP($E12,CTPit!$E$10:$AW$175,BQ$9,FALSE)-Y12)</f>
        <v>-</v>
      </c>
      <c r="BR12" s="91" t="str">
        <f>IF(Z12="-","-",VLOOKUP($E12,CTPit!$E$10:$AW$175,BR$9,FALSE)-Z12)</f>
        <v>-</v>
      </c>
      <c r="BS12" s="91">
        <f>IF(AA12="-","-",VLOOKUP($E12,CTPit!$E$10:$AW$175,BS$9,FALSE)-AA12)</f>
        <v>0</v>
      </c>
      <c r="BT12" s="91">
        <f>IF(AB12="-","-",VLOOKUP($E12,CTPit!$E$10:$AW$175,BT$9,FALSE)-AB12)</f>
        <v>0</v>
      </c>
      <c r="BU12" s="91" t="str">
        <f>IF(AC12="-","-",VLOOKUP($E12,CTPit!$E$10:$AW$175,BU$9,FALSE)-AC12)</f>
        <v>-</v>
      </c>
      <c r="BV12" s="91" t="str">
        <f>IF(AD12="-","-",VLOOKUP($E12,CTPit!$E$10:$AW$175,BV$9,FALSE)-AD12)</f>
        <v>-</v>
      </c>
      <c r="BW12" s="91">
        <f>IF(AE12="-","-",VLOOKUP($E12,CTPit!$E$10:$AW$175,BW$9,FALSE)-AE12)</f>
        <v>0</v>
      </c>
      <c r="BX12" s="91">
        <f>IF(AF12="-","-",VLOOKUP($E12,CTPit!$E$10:$AW$175,BX$9,FALSE)-AF12)</f>
        <v>0</v>
      </c>
      <c r="BY12" s="91" t="str">
        <f>IF(AG12="-","-",VLOOKUP($E12,CTPit!$E$10:$AW$175,BY$9,FALSE)-AG12)</f>
        <v>-</v>
      </c>
      <c r="BZ12" s="91" t="str">
        <f>IF(AH12="-","-",VLOOKUP($E12,CTPit!$E$10:$AW$175,BZ$9,FALSE)-AH12)</f>
        <v>-</v>
      </c>
      <c r="CA12" s="91" t="str">
        <f>IF(AI12="-","-",VLOOKUP($E12,CTPit!$E$10:$AW$175,CA$9,FALSE)-AI12)</f>
        <v>-</v>
      </c>
      <c r="CB12" s="91" t="str">
        <f>IF(AJ12="-","-",VLOOKUP($E12,CTPit!$E$10:$AW$175,CB$9,FALSE)-AJ12)</f>
        <v>-</v>
      </c>
      <c r="CC12" s="91" t="str">
        <f>IF(AK12="-","-",VLOOKUP($E12,CTPit!$E$10:$AW$175,CC$9,FALSE)-AK12)</f>
        <v>-</v>
      </c>
      <c r="CD12" s="91" t="str">
        <f>IF(AL12="-","-",VLOOKUP($E12,CTPit!$E$10:$AW$175,CD$9,FALSE)-AL12)</f>
        <v>-</v>
      </c>
      <c r="CE12" s="91" t="str">
        <f>IF(AM12="-","-",VLOOKUP($E12,CTPit!$E$10:$AW$175,CE$9,FALSE)-AM12)</f>
        <v>-</v>
      </c>
      <c r="CF12" s="91" t="str">
        <f>IF(AN12="-","-",VLOOKUP($E12,CTPit!$E$10:$AW$175,CF$9,FALSE)-AN12)</f>
        <v>-</v>
      </c>
      <c r="CG12" s="91" t="str">
        <f>IF(AO12="-","-",VLOOKUP($E12,CTPit!$E$10:$AW$175,CG$9,FALSE)-AO12)</f>
        <v>-</v>
      </c>
      <c r="CH12" s="91" t="str">
        <f>IF(AP12="-","-",VLOOKUP($E12,CTPit!$E$10:$AW$175,CH$9,FALSE)-AP12)</f>
        <v>-</v>
      </c>
      <c r="CI12" s="91" t="str">
        <f>IF(AQ12="-","-",VLOOKUP($E12,CTPit!$E$10:$AW$175,CI$9,FALSE)-AQ12)</f>
        <v>-</v>
      </c>
      <c r="CJ12" s="91" t="str">
        <f>IF(AR12="-","-",VLOOKUP($E12,CTPit!$E$10:$AW$175,CJ$9,FALSE)-AR12)</f>
        <v>-</v>
      </c>
      <c r="CK12">
        <f t="shared" si="15"/>
        <v>1</v>
      </c>
    </row>
    <row r="13" spans="1:89">
      <c r="C13" t="str">
        <f t="shared" si="5"/>
        <v>K</v>
      </c>
      <c r="D13" t="s">
        <v>107</v>
      </c>
      <c r="E13" t="s">
        <v>220</v>
      </c>
      <c r="F13" t="s">
        <v>25</v>
      </c>
      <c r="G13" t="s">
        <v>207</v>
      </c>
      <c r="H13">
        <v>23</v>
      </c>
      <c r="I13" t="s">
        <v>104</v>
      </c>
      <c r="J13" s="219" t="s">
        <v>104</v>
      </c>
      <c r="K13" t="s">
        <v>42</v>
      </c>
      <c r="L13" t="s">
        <v>48</v>
      </c>
      <c r="M13" t="s">
        <v>223</v>
      </c>
      <c r="N13" s="219" t="s">
        <v>223</v>
      </c>
      <c r="O13">
        <v>9</v>
      </c>
      <c r="P13">
        <v>6</v>
      </c>
      <c r="Q13" s="219">
        <v>4</v>
      </c>
      <c r="R13">
        <v>9</v>
      </c>
      <c r="S13">
        <v>6</v>
      </c>
      <c r="T13" s="219">
        <v>4</v>
      </c>
      <c r="U13">
        <v>8</v>
      </c>
      <c r="V13">
        <v>8</v>
      </c>
      <c r="W13">
        <v>3</v>
      </c>
      <c r="X13">
        <v>3</v>
      </c>
      <c r="Y13" t="s">
        <v>41</v>
      </c>
      <c r="Z13" t="s">
        <v>41</v>
      </c>
      <c r="AA13">
        <v>5</v>
      </c>
      <c r="AB13">
        <v>5</v>
      </c>
      <c r="AC13">
        <v>7</v>
      </c>
      <c r="AD13">
        <v>7</v>
      </c>
      <c r="AE13" t="s">
        <v>41</v>
      </c>
      <c r="AF13" t="s">
        <v>41</v>
      </c>
      <c r="AG13" t="s">
        <v>41</v>
      </c>
      <c r="AH13" t="s">
        <v>41</v>
      </c>
      <c r="AI13" t="s">
        <v>41</v>
      </c>
      <c r="AJ13" t="s">
        <v>41</v>
      </c>
      <c r="AK13" t="s">
        <v>41</v>
      </c>
      <c r="AL13" t="s">
        <v>41</v>
      </c>
      <c r="AM13" t="s">
        <v>41</v>
      </c>
      <c r="AN13" t="s">
        <v>41</v>
      </c>
      <c r="AO13" t="s">
        <v>41</v>
      </c>
      <c r="AP13" t="s">
        <v>41</v>
      </c>
      <c r="AQ13" t="s">
        <v>41</v>
      </c>
      <c r="AR13" s="219" t="s">
        <v>41</v>
      </c>
      <c r="AS13" t="s">
        <v>402</v>
      </c>
      <c r="AT13">
        <v>9</v>
      </c>
      <c r="AU13" s="269">
        <v>0.6</v>
      </c>
      <c r="AV13">
        <v>490000</v>
      </c>
      <c r="AW13" s="8" t="s">
        <v>45</v>
      </c>
      <c r="AX13" s="6">
        <f t="shared" si="6"/>
        <v>7.083333333333333</v>
      </c>
      <c r="AY13" s="9" t="str">
        <f t="shared" si="7"/>
        <v>GoodReg</v>
      </c>
      <c r="AZ13" s="9">
        <f t="shared" si="8"/>
        <v>7.083333333333333</v>
      </c>
      <c r="BA13" s="9" t="str">
        <f t="shared" si="9"/>
        <v>GoodReg</v>
      </c>
      <c r="BB13" s="9">
        <f t="shared" si="10"/>
        <v>7.083333333333333</v>
      </c>
      <c r="BC13" s="9" t="str">
        <f t="shared" si="11"/>
        <v>GoodReg</v>
      </c>
      <c r="BD13" s="84">
        <f t="shared" si="12"/>
        <v>4</v>
      </c>
      <c r="BE13" s="83">
        <f t="shared" si="13"/>
        <v>2</v>
      </c>
      <c r="BF13" t="str">
        <f t="shared" si="14"/>
        <v/>
      </c>
      <c r="BG13" s="91">
        <f>IF(O13="-","-",VLOOKUP($E13,CTPit!$E$10:$AW$175,BG$9,FALSE)-O13)</f>
        <v>0</v>
      </c>
      <c r="BH13" s="91">
        <f>IF(P13="-","-",VLOOKUP($E13,CTPit!$E$10:$AW$175,BH$9,FALSE)-P13)</f>
        <v>0</v>
      </c>
      <c r="BI13" s="91">
        <f>IF(Q13="-","-",VLOOKUP($E13,CTPit!$E$10:$AW$175,BI$9,FALSE)-Q13)</f>
        <v>1</v>
      </c>
      <c r="BJ13" s="91">
        <f>IF(R13="-","-",VLOOKUP($E13,CTPit!$E$10:$AW$175,BJ$9,FALSE)-R13)</f>
        <v>0</v>
      </c>
      <c r="BK13" s="91">
        <f>IF(S13="-","-",VLOOKUP($E13,CTPit!$E$10:$AW$175,BK$9,FALSE)-S13)</f>
        <v>0</v>
      </c>
      <c r="BL13" s="91">
        <f>IF(T13="-","-",VLOOKUP($E13,CTPit!$E$10:$AW$175,BL$9,FALSE)-T13)</f>
        <v>1</v>
      </c>
      <c r="BM13" s="91">
        <f>IF(U13="-","-",VLOOKUP($E13,CTPit!$E$10:$AW$175,BM$9,FALSE)-U13)</f>
        <v>0</v>
      </c>
      <c r="BN13" s="91">
        <f>IF(V13="-","-",VLOOKUP($E13,CTPit!$E$10:$AW$175,BN$9,FALSE)-V13)</f>
        <v>0</v>
      </c>
      <c r="BO13" s="91">
        <f>IF(W13="-","-",VLOOKUP($E13,CTPit!$E$10:$AW$175,BO$9,FALSE)-W13)</f>
        <v>0</v>
      </c>
      <c r="BP13" s="91">
        <f>IF(X13="-","-",VLOOKUP($E13,CTPit!$E$10:$AW$175,BP$9,FALSE)-X13)</f>
        <v>0</v>
      </c>
      <c r="BQ13" s="91" t="str">
        <f>IF(Y13="-","-",VLOOKUP($E13,CTPit!$E$10:$AW$175,BQ$9,FALSE)-Y13)</f>
        <v>-</v>
      </c>
      <c r="BR13" s="91" t="str">
        <f>IF(Z13="-","-",VLOOKUP($E13,CTPit!$E$10:$AW$175,BR$9,FALSE)-Z13)</f>
        <v>-</v>
      </c>
      <c r="BS13" s="91">
        <f>IF(AA13="-","-",VLOOKUP($E13,CTPit!$E$10:$AW$175,BS$9,FALSE)-AA13)</f>
        <v>0</v>
      </c>
      <c r="BT13" s="91">
        <f>IF(AB13="-","-",VLOOKUP($E13,CTPit!$E$10:$AW$175,BT$9,FALSE)-AB13)</f>
        <v>0</v>
      </c>
      <c r="BU13" s="91">
        <f>IF(AC13="-","-",VLOOKUP($E13,CTPit!$E$10:$AW$175,BU$9,FALSE)-AC13)</f>
        <v>-1</v>
      </c>
      <c r="BV13" s="91">
        <f>IF(AD13="-","-",VLOOKUP($E13,CTPit!$E$10:$AW$175,BV$9,FALSE)-AD13)</f>
        <v>-1</v>
      </c>
      <c r="BW13" s="91" t="str">
        <f>IF(AE13="-","-",VLOOKUP($E13,CTPit!$E$10:$AW$175,BW$9,FALSE)-AE13)</f>
        <v>-</v>
      </c>
      <c r="BX13" s="91" t="str">
        <f>IF(AF13="-","-",VLOOKUP($E13,CTPit!$E$10:$AW$175,BX$9,FALSE)-AF13)</f>
        <v>-</v>
      </c>
      <c r="BY13" s="91" t="str">
        <f>IF(AG13="-","-",VLOOKUP($E13,CTPit!$E$10:$AW$175,BY$9,FALSE)-AG13)</f>
        <v>-</v>
      </c>
      <c r="BZ13" s="91" t="str">
        <f>IF(AH13="-","-",VLOOKUP($E13,CTPit!$E$10:$AW$175,BZ$9,FALSE)-AH13)</f>
        <v>-</v>
      </c>
      <c r="CA13" s="91" t="str">
        <f>IF(AI13="-","-",VLOOKUP($E13,CTPit!$E$10:$AW$175,CA$9,FALSE)-AI13)</f>
        <v>-</v>
      </c>
      <c r="CB13" s="91" t="str">
        <f>IF(AJ13="-","-",VLOOKUP($E13,CTPit!$E$10:$AW$175,CB$9,FALSE)-AJ13)</f>
        <v>-</v>
      </c>
      <c r="CC13" s="91" t="str">
        <f>IF(AK13="-","-",VLOOKUP($E13,CTPit!$E$10:$AW$175,CC$9,FALSE)-AK13)</f>
        <v>-</v>
      </c>
      <c r="CD13" s="91" t="str">
        <f>IF(AL13="-","-",VLOOKUP($E13,CTPit!$E$10:$AW$175,CD$9,FALSE)-AL13)</f>
        <v>-</v>
      </c>
      <c r="CE13" s="91" t="str">
        <f>IF(AM13="-","-",VLOOKUP($E13,CTPit!$E$10:$AW$175,CE$9,FALSE)-AM13)</f>
        <v>-</v>
      </c>
      <c r="CF13" s="91" t="str">
        <f>IF(AN13="-","-",VLOOKUP($E13,CTPit!$E$10:$AW$175,CF$9,FALSE)-AN13)</f>
        <v>-</v>
      </c>
      <c r="CG13" s="91" t="str">
        <f>IF(AO13="-","-",VLOOKUP($E13,CTPit!$E$10:$AW$175,CG$9,FALSE)-AO13)</f>
        <v>-</v>
      </c>
      <c r="CH13" s="91" t="str">
        <f>IF(AP13="-","-",VLOOKUP($E13,CTPit!$E$10:$AW$175,CH$9,FALSE)-AP13)</f>
        <v>-</v>
      </c>
      <c r="CI13" s="91" t="str">
        <f>IF(AQ13="-","-",VLOOKUP($E13,CTPit!$E$10:$AW$175,CI$9,FALSE)-AQ13)</f>
        <v>-</v>
      </c>
      <c r="CJ13" s="91" t="str">
        <f>IF(AR13="-","-",VLOOKUP($E13,CTPit!$E$10:$AW$175,CJ$9,FALSE)-AR13)</f>
        <v>-</v>
      </c>
      <c r="CK13">
        <f t="shared" si="15"/>
        <v>0</v>
      </c>
    </row>
    <row r="14" spans="1:89">
      <c r="C14" t="str">
        <f t="shared" si="5"/>
        <v>K</v>
      </c>
      <c r="D14" t="s">
        <v>109</v>
      </c>
      <c r="E14" t="s">
        <v>16</v>
      </c>
      <c r="F14" t="s">
        <v>25</v>
      </c>
      <c r="G14" t="s">
        <v>207</v>
      </c>
      <c r="H14">
        <v>27</v>
      </c>
      <c r="I14" t="s">
        <v>103</v>
      </c>
      <c r="J14" s="219" t="s">
        <v>104</v>
      </c>
      <c r="K14" t="s">
        <v>48</v>
      </c>
      <c r="L14" t="s">
        <v>48</v>
      </c>
      <c r="M14" t="s">
        <v>224</v>
      </c>
      <c r="N14" s="219" t="s">
        <v>225</v>
      </c>
      <c r="O14">
        <v>8</v>
      </c>
      <c r="P14">
        <v>6</v>
      </c>
      <c r="Q14" s="219">
        <v>6</v>
      </c>
      <c r="R14">
        <v>8</v>
      </c>
      <c r="S14">
        <v>6</v>
      </c>
      <c r="T14" s="219">
        <v>7</v>
      </c>
      <c r="U14">
        <v>8</v>
      </c>
      <c r="V14">
        <v>8</v>
      </c>
      <c r="W14">
        <v>1</v>
      </c>
      <c r="X14">
        <v>1</v>
      </c>
      <c r="Y14" t="s">
        <v>41</v>
      </c>
      <c r="Z14" t="s">
        <v>41</v>
      </c>
      <c r="AA14">
        <v>8</v>
      </c>
      <c r="AB14">
        <v>8</v>
      </c>
      <c r="AC14" t="s">
        <v>41</v>
      </c>
      <c r="AD14" t="s">
        <v>41</v>
      </c>
      <c r="AE14" t="s">
        <v>41</v>
      </c>
      <c r="AF14" t="s">
        <v>41</v>
      </c>
      <c r="AG14" t="s">
        <v>41</v>
      </c>
      <c r="AH14" t="s">
        <v>41</v>
      </c>
      <c r="AI14" t="s">
        <v>41</v>
      </c>
      <c r="AJ14" t="s">
        <v>41</v>
      </c>
      <c r="AK14" t="s">
        <v>41</v>
      </c>
      <c r="AL14" t="s">
        <v>41</v>
      </c>
      <c r="AM14" t="s">
        <v>41</v>
      </c>
      <c r="AN14" t="s">
        <v>41</v>
      </c>
      <c r="AO14" t="s">
        <v>41</v>
      </c>
      <c r="AP14" t="s">
        <v>41</v>
      </c>
      <c r="AQ14" t="s">
        <v>41</v>
      </c>
      <c r="AR14" s="219" t="s">
        <v>41</v>
      </c>
      <c r="AS14" t="s">
        <v>5</v>
      </c>
      <c r="AT14">
        <v>4</v>
      </c>
      <c r="AU14" s="269">
        <v>0.36</v>
      </c>
      <c r="AV14">
        <v>490000</v>
      </c>
      <c r="AW14" s="8" t="s">
        <v>45</v>
      </c>
      <c r="AX14" s="6">
        <f t="shared" si="6"/>
        <v>6.916666666666667</v>
      </c>
      <c r="AY14" s="9" t="str">
        <f t="shared" si="7"/>
        <v>GoodReg</v>
      </c>
      <c r="AZ14" s="9">
        <f t="shared" si="8"/>
        <v>7.25</v>
      </c>
      <c r="BA14" s="9" t="str">
        <f t="shared" si="9"/>
        <v>GoodReg</v>
      </c>
      <c r="BB14" s="9">
        <f t="shared" si="10"/>
        <v>7.25</v>
      </c>
      <c r="BC14" s="9" t="str">
        <f t="shared" si="11"/>
        <v>GoodReg</v>
      </c>
      <c r="BD14" s="84">
        <f t="shared" si="12"/>
        <v>3</v>
      </c>
      <c r="BE14" s="83">
        <f t="shared" si="13"/>
        <v>2</v>
      </c>
      <c r="BF14" t="str">
        <f t="shared" si="14"/>
        <v/>
      </c>
      <c r="BG14" s="91">
        <f>IF(O14="-","-",VLOOKUP($E14,CTPit!$E$10:$AW$175,BG$9,FALSE)-O14)</f>
        <v>0</v>
      </c>
      <c r="BH14" s="91">
        <f>IF(P14="-","-",VLOOKUP($E14,CTPit!$E$10:$AW$175,BH$9,FALSE)-P14)</f>
        <v>0</v>
      </c>
      <c r="BI14" s="91">
        <f>IF(Q14="-","-",VLOOKUP($E14,CTPit!$E$10:$AW$175,BI$9,FALSE)-Q14)</f>
        <v>0</v>
      </c>
      <c r="BJ14" s="91">
        <f>IF(R14="-","-",VLOOKUP($E14,CTPit!$E$10:$AW$175,BJ$9,FALSE)-R14)</f>
        <v>0</v>
      </c>
      <c r="BK14" s="91">
        <f>IF(S14="-","-",VLOOKUP($E14,CTPit!$E$10:$AW$175,BK$9,FALSE)-S14)</f>
        <v>0</v>
      </c>
      <c r="BL14" s="91">
        <f>IF(T14="-","-",VLOOKUP($E14,CTPit!$E$10:$AW$175,BL$9,FALSE)-T14)</f>
        <v>-1</v>
      </c>
      <c r="BM14" s="91">
        <f>IF(U14="-","-",VLOOKUP($E14,CTPit!$E$10:$AW$175,BM$9,FALSE)-U14)</f>
        <v>0</v>
      </c>
      <c r="BN14" s="91">
        <f>IF(V14="-","-",VLOOKUP($E14,CTPit!$E$10:$AW$175,BN$9,FALSE)-V14)</f>
        <v>0</v>
      </c>
      <c r="BO14" s="91" t="e">
        <f>IF(W14="-","-",VLOOKUP($E14,CTPit!$E$10:$AW$175,BO$9,FALSE)-W14)</f>
        <v>#VALUE!</v>
      </c>
      <c r="BP14" s="91" t="e">
        <f>IF(X14="-","-",VLOOKUP($E14,CTPit!$E$10:$AW$175,BP$9,FALSE)-X14)</f>
        <v>#VALUE!</v>
      </c>
      <c r="BQ14" s="91" t="str">
        <f>IF(Y14="-","-",VLOOKUP($E14,CTPit!$E$10:$AW$175,BQ$9,FALSE)-Y14)</f>
        <v>-</v>
      </c>
      <c r="BR14" s="91" t="str">
        <f>IF(Z14="-","-",VLOOKUP($E14,CTPit!$E$10:$AW$175,BR$9,FALSE)-Z14)</f>
        <v>-</v>
      </c>
      <c r="BS14" s="91">
        <f>IF(AA14="-","-",VLOOKUP($E14,CTPit!$E$10:$AW$175,BS$9,FALSE)-AA14)</f>
        <v>0</v>
      </c>
      <c r="BT14" s="91">
        <f>IF(AB14="-","-",VLOOKUP($E14,CTPit!$E$10:$AW$175,BT$9,FALSE)-AB14)</f>
        <v>0</v>
      </c>
      <c r="BU14" s="91" t="str">
        <f>IF(AC14="-","-",VLOOKUP($E14,CTPit!$E$10:$AW$175,BU$9,FALSE)-AC14)</f>
        <v>-</v>
      </c>
      <c r="BV14" s="91" t="str">
        <f>IF(AD14="-","-",VLOOKUP($E14,CTPit!$E$10:$AW$175,BV$9,FALSE)-AD14)</f>
        <v>-</v>
      </c>
      <c r="BW14" s="91" t="str">
        <f>IF(AE14="-","-",VLOOKUP($E14,CTPit!$E$10:$AW$175,BW$9,FALSE)-AE14)</f>
        <v>-</v>
      </c>
      <c r="BX14" s="91" t="str">
        <f>IF(AF14="-","-",VLOOKUP($E14,CTPit!$E$10:$AW$175,BX$9,FALSE)-AF14)</f>
        <v>-</v>
      </c>
      <c r="BY14" s="91" t="str">
        <f>IF(AG14="-","-",VLOOKUP($E14,CTPit!$E$10:$AW$175,BY$9,FALSE)-AG14)</f>
        <v>-</v>
      </c>
      <c r="BZ14" s="91" t="str">
        <f>IF(AH14="-","-",VLOOKUP($E14,CTPit!$E$10:$AW$175,BZ$9,FALSE)-AH14)</f>
        <v>-</v>
      </c>
      <c r="CA14" s="91" t="str">
        <f>IF(AI14="-","-",VLOOKUP($E14,CTPit!$E$10:$AW$175,CA$9,FALSE)-AI14)</f>
        <v>-</v>
      </c>
      <c r="CB14" s="91" t="str">
        <f>IF(AJ14="-","-",VLOOKUP($E14,CTPit!$E$10:$AW$175,CB$9,FALSE)-AJ14)</f>
        <v>-</v>
      </c>
      <c r="CC14" s="91" t="str">
        <f>IF(AK14="-","-",VLOOKUP($E14,CTPit!$E$10:$AW$175,CC$9,FALSE)-AK14)</f>
        <v>-</v>
      </c>
      <c r="CD14" s="91" t="str">
        <f>IF(AL14="-","-",VLOOKUP($E14,CTPit!$E$10:$AW$175,CD$9,FALSE)-AL14)</f>
        <v>-</v>
      </c>
      <c r="CE14" s="91" t="str">
        <f>IF(AM14="-","-",VLOOKUP($E14,CTPit!$E$10:$AW$175,CE$9,FALSE)-AM14)</f>
        <v>-</v>
      </c>
      <c r="CF14" s="91" t="str">
        <f>IF(AN14="-","-",VLOOKUP($E14,CTPit!$E$10:$AW$175,CF$9,FALSE)-AN14)</f>
        <v>-</v>
      </c>
      <c r="CG14" s="91" t="str">
        <f>IF(AO14="-","-",VLOOKUP($E14,CTPit!$E$10:$AW$175,CG$9,FALSE)-AO14)</f>
        <v>-</v>
      </c>
      <c r="CH14" s="91" t="str">
        <f>IF(AP14="-","-",VLOOKUP($E14,CTPit!$E$10:$AW$175,CH$9,FALSE)-AP14)</f>
        <v>-</v>
      </c>
      <c r="CI14" s="91" t="str">
        <f>IF(AQ14="-","-",VLOOKUP($E14,CTPit!$E$10:$AW$175,CI$9,FALSE)-AQ14)</f>
        <v>-</v>
      </c>
      <c r="CJ14" s="91" t="str">
        <f>IF(AR14="-","-",VLOOKUP($E14,CTPit!$E$10:$AW$175,CJ$9,FALSE)-AR14)</f>
        <v>-</v>
      </c>
      <c r="CK14" t="e">
        <f t="shared" si="15"/>
        <v>#VALUE!</v>
      </c>
    </row>
    <row r="15" spans="1:89">
      <c r="C15" t="str">
        <f t="shared" si="5"/>
        <v>K</v>
      </c>
      <c r="D15" t="s">
        <v>108</v>
      </c>
      <c r="E15" t="s">
        <v>491</v>
      </c>
      <c r="F15" t="s">
        <v>25</v>
      </c>
      <c r="G15" t="s">
        <v>207</v>
      </c>
      <c r="H15">
        <v>24</v>
      </c>
      <c r="I15" t="s">
        <v>103</v>
      </c>
      <c r="J15" s="219" t="s">
        <v>104</v>
      </c>
      <c r="K15" t="s">
        <v>42</v>
      </c>
      <c r="L15" t="s">
        <v>40</v>
      </c>
      <c r="M15" t="s">
        <v>223</v>
      </c>
      <c r="N15" s="219" t="s">
        <v>223</v>
      </c>
      <c r="O15">
        <v>8</v>
      </c>
      <c r="P15">
        <v>6</v>
      </c>
      <c r="Q15" s="219">
        <v>6</v>
      </c>
      <c r="R15">
        <v>8</v>
      </c>
      <c r="S15">
        <v>6</v>
      </c>
      <c r="T15" s="219">
        <v>6</v>
      </c>
      <c r="U15">
        <v>9</v>
      </c>
      <c r="V15">
        <v>9</v>
      </c>
      <c r="W15">
        <v>8</v>
      </c>
      <c r="X15">
        <v>8</v>
      </c>
      <c r="Y15" t="s">
        <v>41</v>
      </c>
      <c r="Z15" t="s">
        <v>41</v>
      </c>
      <c r="AA15" t="s">
        <v>41</v>
      </c>
      <c r="AB15" t="s">
        <v>41</v>
      </c>
      <c r="AC15" t="s">
        <v>41</v>
      </c>
      <c r="AD15" t="s">
        <v>41</v>
      </c>
      <c r="AE15">
        <v>7</v>
      </c>
      <c r="AF15">
        <v>7</v>
      </c>
      <c r="AG15" t="s">
        <v>41</v>
      </c>
      <c r="AH15" t="s">
        <v>41</v>
      </c>
      <c r="AI15" t="s">
        <v>41</v>
      </c>
      <c r="AJ15" t="s">
        <v>41</v>
      </c>
      <c r="AK15" t="s">
        <v>41</v>
      </c>
      <c r="AL15" t="s">
        <v>41</v>
      </c>
      <c r="AM15" t="s">
        <v>41</v>
      </c>
      <c r="AN15" t="s">
        <v>41</v>
      </c>
      <c r="AO15" t="s">
        <v>41</v>
      </c>
      <c r="AP15" t="s">
        <v>41</v>
      </c>
      <c r="AQ15" t="s">
        <v>41</v>
      </c>
      <c r="AR15" s="219" t="s">
        <v>41</v>
      </c>
      <c r="AS15" t="s">
        <v>5</v>
      </c>
      <c r="AT15">
        <v>7</v>
      </c>
      <c r="AU15" s="269">
        <v>0.45</v>
      </c>
      <c r="AV15">
        <v>490000</v>
      </c>
      <c r="AW15" s="8" t="s">
        <v>45</v>
      </c>
      <c r="AX15" s="6">
        <f t="shared" si="6"/>
        <v>6.916666666666667</v>
      </c>
      <c r="AY15" s="9" t="str">
        <f t="shared" si="7"/>
        <v>GoodReg</v>
      </c>
      <c r="AZ15" s="9">
        <f t="shared" si="8"/>
        <v>6.916666666666667</v>
      </c>
      <c r="BA15" s="9" t="str">
        <f t="shared" si="9"/>
        <v>GoodReg</v>
      </c>
      <c r="BB15" s="9">
        <f t="shared" si="10"/>
        <v>6.916666666666667</v>
      </c>
      <c r="BC15" s="9" t="str">
        <f t="shared" si="11"/>
        <v>GoodReg</v>
      </c>
      <c r="BD15" s="84">
        <f t="shared" si="12"/>
        <v>3</v>
      </c>
      <c r="BE15" s="83">
        <f t="shared" si="13"/>
        <v>3</v>
      </c>
      <c r="BF15" t="str">
        <f t="shared" si="14"/>
        <v/>
      </c>
      <c r="BG15" s="91">
        <f>IF(O15="-","-",VLOOKUP($E15,CTPit!$E$10:$AW$175,BG$9,FALSE)-O15)</f>
        <v>0</v>
      </c>
      <c r="BH15" s="91">
        <f>IF(P15="-","-",VLOOKUP($E15,CTPit!$E$10:$AW$175,BH$9,FALSE)-P15)</f>
        <v>-1</v>
      </c>
      <c r="BI15" s="91">
        <f>IF(Q15="-","-",VLOOKUP($E15,CTPit!$E$10:$AW$175,BI$9,FALSE)-Q15)</f>
        <v>0</v>
      </c>
      <c r="BJ15" s="91">
        <f>IF(R15="-","-",VLOOKUP($E15,CTPit!$E$10:$AW$175,BJ$9,FALSE)-R15)</f>
        <v>0</v>
      </c>
      <c r="BK15" s="91">
        <f>IF(S15="-","-",VLOOKUP($E15,CTPit!$E$10:$AW$175,BK$9,FALSE)-S15)</f>
        <v>-1</v>
      </c>
      <c r="BL15" s="91">
        <f>IF(T15="-","-",VLOOKUP($E15,CTPit!$E$10:$AW$175,BL$9,FALSE)-T15)</f>
        <v>0</v>
      </c>
      <c r="BM15" s="91">
        <f>IF(U15="-","-",VLOOKUP($E15,CTPit!$E$10:$AW$175,BM$9,FALSE)-U15)</f>
        <v>0</v>
      </c>
      <c r="BN15" s="91">
        <f>IF(V15="-","-",VLOOKUP($E15,CTPit!$E$10:$AW$175,BN$9,FALSE)-V15)</f>
        <v>0</v>
      </c>
      <c r="BO15" s="91">
        <f>IF(W15="-","-",VLOOKUP($E15,CTPit!$E$10:$AW$175,BO$9,FALSE)-W15)</f>
        <v>0</v>
      </c>
      <c r="BP15" s="91">
        <f>IF(X15="-","-",VLOOKUP($E15,CTPit!$E$10:$AW$175,BP$9,FALSE)-X15)</f>
        <v>0</v>
      </c>
      <c r="BQ15" s="91" t="str">
        <f>IF(Y15="-","-",VLOOKUP($E15,CTPit!$E$10:$AW$175,BQ$9,FALSE)-Y15)</f>
        <v>-</v>
      </c>
      <c r="BR15" s="91" t="str">
        <f>IF(Z15="-","-",VLOOKUP($E15,CTPit!$E$10:$AW$175,BR$9,FALSE)-Z15)</f>
        <v>-</v>
      </c>
      <c r="BS15" s="91" t="str">
        <f>IF(AA15="-","-",VLOOKUP($E15,CTPit!$E$10:$AW$175,BS$9,FALSE)-AA15)</f>
        <v>-</v>
      </c>
      <c r="BT15" s="91" t="str">
        <f>IF(AB15="-","-",VLOOKUP($E15,CTPit!$E$10:$AW$175,BT$9,FALSE)-AB15)</f>
        <v>-</v>
      </c>
      <c r="BU15" s="91" t="str">
        <f>IF(AC15="-","-",VLOOKUP($E15,CTPit!$E$10:$AW$175,BU$9,FALSE)-AC15)</f>
        <v>-</v>
      </c>
      <c r="BV15" s="91" t="str">
        <f>IF(AD15="-","-",VLOOKUP($E15,CTPit!$E$10:$AW$175,BV$9,FALSE)-AD15)</f>
        <v>-</v>
      </c>
      <c r="BW15" s="91">
        <f>IF(AE15="-","-",VLOOKUP($E15,CTPit!$E$10:$AW$175,BW$9,FALSE)-AE15)</f>
        <v>0</v>
      </c>
      <c r="BX15" s="91">
        <f>IF(AF15="-","-",VLOOKUP($E15,CTPit!$E$10:$AW$175,BX$9,FALSE)-AF15)</f>
        <v>0</v>
      </c>
      <c r="BY15" s="91" t="str">
        <f>IF(AG15="-","-",VLOOKUP($E15,CTPit!$E$10:$AW$175,BY$9,FALSE)-AG15)</f>
        <v>-</v>
      </c>
      <c r="BZ15" s="91" t="str">
        <f>IF(AH15="-","-",VLOOKUP($E15,CTPit!$E$10:$AW$175,BZ$9,FALSE)-AH15)</f>
        <v>-</v>
      </c>
      <c r="CA15" s="91" t="str">
        <f>IF(AI15="-","-",VLOOKUP($E15,CTPit!$E$10:$AW$175,CA$9,FALSE)-AI15)</f>
        <v>-</v>
      </c>
      <c r="CB15" s="91" t="str">
        <f>IF(AJ15="-","-",VLOOKUP($E15,CTPit!$E$10:$AW$175,CB$9,FALSE)-AJ15)</f>
        <v>-</v>
      </c>
      <c r="CC15" s="91" t="str">
        <f>IF(AK15="-","-",VLOOKUP($E15,CTPit!$E$10:$AW$175,CC$9,FALSE)-AK15)</f>
        <v>-</v>
      </c>
      <c r="CD15" s="91" t="str">
        <f>IF(AL15="-","-",VLOOKUP($E15,CTPit!$E$10:$AW$175,CD$9,FALSE)-AL15)</f>
        <v>-</v>
      </c>
      <c r="CE15" s="91" t="str">
        <f>IF(AM15="-","-",VLOOKUP($E15,CTPit!$E$10:$AW$175,CE$9,FALSE)-AM15)</f>
        <v>-</v>
      </c>
      <c r="CF15" s="91" t="str">
        <f>IF(AN15="-","-",VLOOKUP($E15,CTPit!$E$10:$AW$175,CF$9,FALSE)-AN15)</f>
        <v>-</v>
      </c>
      <c r="CG15" s="91" t="str">
        <f>IF(AO15="-","-",VLOOKUP($E15,CTPit!$E$10:$AW$175,CG$9,FALSE)-AO15)</f>
        <v>-</v>
      </c>
      <c r="CH15" s="91" t="str">
        <f>IF(AP15="-","-",VLOOKUP($E15,CTPit!$E$10:$AW$175,CH$9,FALSE)-AP15)</f>
        <v>-</v>
      </c>
      <c r="CI15" s="91" t="str">
        <f>IF(AQ15="-","-",VLOOKUP($E15,CTPit!$E$10:$AW$175,CI$9,FALSE)-AQ15)</f>
        <v>-</v>
      </c>
      <c r="CJ15" s="91" t="str">
        <f>IF(AR15="-","-",VLOOKUP($E15,CTPit!$E$10:$AW$175,CJ$9,FALSE)-AR15)</f>
        <v>-</v>
      </c>
      <c r="CK15">
        <f t="shared" si="15"/>
        <v>-2</v>
      </c>
    </row>
    <row r="16" spans="1:89">
      <c r="C16" t="str">
        <f t="shared" si="5"/>
        <v>K</v>
      </c>
      <c r="D16" t="s">
        <v>107</v>
      </c>
      <c r="E16" t="s">
        <v>520</v>
      </c>
      <c r="F16" t="s">
        <v>25</v>
      </c>
      <c r="G16" t="s">
        <v>207</v>
      </c>
      <c r="H16">
        <v>29</v>
      </c>
      <c r="I16" t="s">
        <v>106</v>
      </c>
      <c r="J16" s="219" t="s">
        <v>104</v>
      </c>
      <c r="K16" t="s">
        <v>42</v>
      </c>
      <c r="L16" t="s">
        <v>40</v>
      </c>
      <c r="M16" t="s">
        <v>223</v>
      </c>
      <c r="N16" s="219" t="s">
        <v>223</v>
      </c>
      <c r="O16">
        <v>5</v>
      </c>
      <c r="P16">
        <v>8</v>
      </c>
      <c r="Q16" s="219">
        <v>7</v>
      </c>
      <c r="R16">
        <v>5</v>
      </c>
      <c r="S16">
        <v>8</v>
      </c>
      <c r="T16" s="219">
        <v>7</v>
      </c>
      <c r="U16">
        <v>4</v>
      </c>
      <c r="V16">
        <v>4</v>
      </c>
      <c r="W16" t="s">
        <v>41</v>
      </c>
      <c r="X16" t="s">
        <v>41</v>
      </c>
      <c r="Y16" t="s">
        <v>41</v>
      </c>
      <c r="Z16" t="s">
        <v>41</v>
      </c>
      <c r="AA16">
        <v>5</v>
      </c>
      <c r="AB16">
        <v>5</v>
      </c>
      <c r="AC16" t="s">
        <v>41</v>
      </c>
      <c r="AD16" t="s">
        <v>41</v>
      </c>
      <c r="AE16">
        <v>5</v>
      </c>
      <c r="AF16">
        <v>5</v>
      </c>
      <c r="AG16" t="s">
        <v>41</v>
      </c>
      <c r="AH16" t="s">
        <v>41</v>
      </c>
      <c r="AI16" t="s">
        <v>41</v>
      </c>
      <c r="AJ16" t="s">
        <v>41</v>
      </c>
      <c r="AK16" t="s">
        <v>41</v>
      </c>
      <c r="AL16" t="s">
        <v>41</v>
      </c>
      <c r="AM16" t="s">
        <v>41</v>
      </c>
      <c r="AN16" t="s">
        <v>41</v>
      </c>
      <c r="AO16" t="s">
        <v>41</v>
      </c>
      <c r="AP16" t="s">
        <v>41</v>
      </c>
      <c r="AQ16" t="s">
        <v>41</v>
      </c>
      <c r="AR16" s="219" t="s">
        <v>41</v>
      </c>
      <c r="AS16" t="s">
        <v>0</v>
      </c>
      <c r="AT16">
        <v>6</v>
      </c>
      <c r="AU16" s="269">
        <v>0.6</v>
      </c>
      <c r="AV16">
        <v>2750000</v>
      </c>
      <c r="AW16" s="8" t="s">
        <v>46</v>
      </c>
      <c r="AX16" s="6">
        <f t="shared" si="6"/>
        <v>6.916666666666667</v>
      </c>
      <c r="AY16" s="9" t="str">
        <f t="shared" si="7"/>
        <v>GoodReg</v>
      </c>
      <c r="AZ16" s="9">
        <f t="shared" si="8"/>
        <v>6.916666666666667</v>
      </c>
      <c r="BA16" s="9" t="str">
        <f t="shared" si="9"/>
        <v>GoodReg</v>
      </c>
      <c r="BB16" s="9">
        <f t="shared" si="10"/>
        <v>6.916666666666667</v>
      </c>
      <c r="BC16" s="9" t="str">
        <f t="shared" si="11"/>
        <v>GoodReg</v>
      </c>
      <c r="BD16" s="84">
        <f t="shared" si="12"/>
        <v>3</v>
      </c>
      <c r="BE16" s="83">
        <f t="shared" si="13"/>
        <v>0</v>
      </c>
      <c r="BF16" t="str">
        <f t="shared" si="14"/>
        <v/>
      </c>
      <c r="BG16" s="91">
        <f>IF(O16="-","-",VLOOKUP($E16,CTPit!$E$10:$AW$175,BG$9,FALSE)-O16)</f>
        <v>0</v>
      </c>
      <c r="BH16" s="91">
        <f>IF(P16="-","-",VLOOKUP($E16,CTPit!$E$10:$AW$175,BH$9,FALSE)-P16)</f>
        <v>0</v>
      </c>
      <c r="BI16" s="91">
        <f>IF(Q16="-","-",VLOOKUP($E16,CTPit!$E$10:$AW$175,BI$9,FALSE)-Q16)</f>
        <v>0</v>
      </c>
      <c r="BJ16" s="91">
        <f>IF(R16="-","-",VLOOKUP($E16,CTPit!$E$10:$AW$175,BJ$9,FALSE)-R16)</f>
        <v>0</v>
      </c>
      <c r="BK16" s="91">
        <f>IF(S16="-","-",VLOOKUP($E16,CTPit!$E$10:$AW$175,BK$9,FALSE)-S16)</f>
        <v>0</v>
      </c>
      <c r="BL16" s="91">
        <f>IF(T16="-","-",VLOOKUP($E16,CTPit!$E$10:$AW$175,BL$9,FALSE)-T16)</f>
        <v>0</v>
      </c>
      <c r="BM16" s="91">
        <f>IF(U16="-","-",VLOOKUP($E16,CTPit!$E$10:$AW$175,BM$9,FALSE)-U16)</f>
        <v>0</v>
      </c>
      <c r="BN16" s="91">
        <f>IF(V16="-","-",VLOOKUP($E16,CTPit!$E$10:$AW$175,BN$9,FALSE)-V16)</f>
        <v>0</v>
      </c>
      <c r="BO16" s="91" t="str">
        <f>IF(W16="-","-",VLOOKUP($E16,CTPit!$E$10:$AW$175,BO$9,FALSE)-W16)</f>
        <v>-</v>
      </c>
      <c r="BP16" s="91" t="str">
        <f>IF(X16="-","-",VLOOKUP($E16,CTPit!$E$10:$AW$175,BP$9,FALSE)-X16)</f>
        <v>-</v>
      </c>
      <c r="BQ16" s="91" t="str">
        <f>IF(Y16="-","-",VLOOKUP($E16,CTPit!$E$10:$AW$175,BQ$9,FALSE)-Y16)</f>
        <v>-</v>
      </c>
      <c r="BR16" s="91" t="str">
        <f>IF(Z16="-","-",VLOOKUP($E16,CTPit!$E$10:$AW$175,BR$9,FALSE)-Z16)</f>
        <v>-</v>
      </c>
      <c r="BS16" s="91">
        <f>IF(AA16="-","-",VLOOKUP($E16,CTPit!$E$10:$AW$175,BS$9,FALSE)-AA16)</f>
        <v>0</v>
      </c>
      <c r="BT16" s="91">
        <f>IF(AB16="-","-",VLOOKUP($E16,CTPit!$E$10:$AW$175,BT$9,FALSE)-AB16)</f>
        <v>0</v>
      </c>
      <c r="BU16" s="91" t="str">
        <f>IF(AC16="-","-",VLOOKUP($E16,CTPit!$E$10:$AW$175,BU$9,FALSE)-AC16)</f>
        <v>-</v>
      </c>
      <c r="BV16" s="91" t="str">
        <f>IF(AD16="-","-",VLOOKUP($E16,CTPit!$E$10:$AW$175,BV$9,FALSE)-AD16)</f>
        <v>-</v>
      </c>
      <c r="BW16" s="91">
        <f>IF(AE16="-","-",VLOOKUP($E16,CTPit!$E$10:$AW$175,BW$9,FALSE)-AE16)</f>
        <v>0</v>
      </c>
      <c r="BX16" s="91">
        <f>IF(AF16="-","-",VLOOKUP($E16,CTPit!$E$10:$AW$175,BX$9,FALSE)-AF16)</f>
        <v>0</v>
      </c>
      <c r="BY16" s="91" t="str">
        <f>IF(AG16="-","-",VLOOKUP($E16,CTPit!$E$10:$AW$175,BY$9,FALSE)-AG16)</f>
        <v>-</v>
      </c>
      <c r="BZ16" s="91" t="str">
        <f>IF(AH16="-","-",VLOOKUP($E16,CTPit!$E$10:$AW$175,BZ$9,FALSE)-AH16)</f>
        <v>-</v>
      </c>
      <c r="CA16" s="91" t="str">
        <f>IF(AI16="-","-",VLOOKUP($E16,CTPit!$E$10:$AW$175,CA$9,FALSE)-AI16)</f>
        <v>-</v>
      </c>
      <c r="CB16" s="91" t="str">
        <f>IF(AJ16="-","-",VLOOKUP($E16,CTPit!$E$10:$AW$175,CB$9,FALSE)-AJ16)</f>
        <v>-</v>
      </c>
      <c r="CC16" s="91" t="str">
        <f>IF(AK16="-","-",VLOOKUP($E16,CTPit!$E$10:$AW$175,CC$9,FALSE)-AK16)</f>
        <v>-</v>
      </c>
      <c r="CD16" s="91" t="str">
        <f>IF(AL16="-","-",VLOOKUP($E16,CTPit!$E$10:$AW$175,CD$9,FALSE)-AL16)</f>
        <v>-</v>
      </c>
      <c r="CE16" s="91" t="str">
        <f>IF(AM16="-","-",VLOOKUP($E16,CTPit!$E$10:$AW$175,CE$9,FALSE)-AM16)</f>
        <v>-</v>
      </c>
      <c r="CF16" s="91" t="str">
        <f>IF(AN16="-","-",VLOOKUP($E16,CTPit!$E$10:$AW$175,CF$9,FALSE)-AN16)</f>
        <v>-</v>
      </c>
      <c r="CG16" s="91" t="str">
        <f>IF(AO16="-","-",VLOOKUP($E16,CTPit!$E$10:$AW$175,CG$9,FALSE)-AO16)</f>
        <v>-</v>
      </c>
      <c r="CH16" s="91" t="str">
        <f>IF(AP16="-","-",VLOOKUP($E16,CTPit!$E$10:$AW$175,CH$9,FALSE)-AP16)</f>
        <v>-</v>
      </c>
      <c r="CI16" s="91" t="str">
        <f>IF(AQ16="-","-",VLOOKUP($E16,CTPit!$E$10:$AW$175,CI$9,FALSE)-AQ16)</f>
        <v>-</v>
      </c>
      <c r="CJ16" s="91" t="str">
        <f>IF(AR16="-","-",VLOOKUP($E16,CTPit!$E$10:$AW$175,CJ$9,FALSE)-AR16)</f>
        <v>-</v>
      </c>
      <c r="CK16">
        <f t="shared" si="15"/>
        <v>0</v>
      </c>
    </row>
    <row r="17" spans="3:89">
      <c r="C17" t="str">
        <f t="shared" si="5"/>
        <v>K</v>
      </c>
      <c r="D17" t="s">
        <v>107</v>
      </c>
      <c r="E17" t="s">
        <v>431</v>
      </c>
      <c r="F17" t="s">
        <v>25</v>
      </c>
      <c r="G17" t="s">
        <v>207</v>
      </c>
      <c r="H17">
        <v>27</v>
      </c>
      <c r="I17" t="s">
        <v>104</v>
      </c>
      <c r="J17" s="219" t="s">
        <v>104</v>
      </c>
      <c r="K17" t="s">
        <v>42</v>
      </c>
      <c r="L17" t="s">
        <v>40</v>
      </c>
      <c r="M17" t="s">
        <v>224</v>
      </c>
      <c r="N17" s="219" t="s">
        <v>225</v>
      </c>
      <c r="O17">
        <v>4</v>
      </c>
      <c r="P17">
        <v>8</v>
      </c>
      <c r="Q17" s="219">
        <v>7</v>
      </c>
      <c r="R17">
        <v>4</v>
      </c>
      <c r="S17">
        <v>8</v>
      </c>
      <c r="T17" s="219">
        <v>7</v>
      </c>
      <c r="U17">
        <v>5</v>
      </c>
      <c r="V17">
        <v>5</v>
      </c>
      <c r="W17" t="s">
        <v>41</v>
      </c>
      <c r="X17" t="s">
        <v>41</v>
      </c>
      <c r="Y17" t="s">
        <v>41</v>
      </c>
      <c r="Z17" t="s">
        <v>41</v>
      </c>
      <c r="AA17">
        <v>4</v>
      </c>
      <c r="AB17">
        <v>4</v>
      </c>
      <c r="AC17" t="s">
        <v>41</v>
      </c>
      <c r="AD17" t="s">
        <v>41</v>
      </c>
      <c r="AE17" t="s">
        <v>41</v>
      </c>
      <c r="AF17" t="s">
        <v>41</v>
      </c>
      <c r="AG17" t="s">
        <v>41</v>
      </c>
      <c r="AH17" t="s">
        <v>41</v>
      </c>
      <c r="AI17" t="s">
        <v>41</v>
      </c>
      <c r="AJ17" t="s">
        <v>41</v>
      </c>
      <c r="AK17" t="s">
        <v>41</v>
      </c>
      <c r="AL17" t="s">
        <v>41</v>
      </c>
      <c r="AM17" t="s">
        <v>41</v>
      </c>
      <c r="AN17" t="s">
        <v>41</v>
      </c>
      <c r="AO17" t="s">
        <v>41</v>
      </c>
      <c r="AP17" t="s">
        <v>41</v>
      </c>
      <c r="AQ17" t="s">
        <v>41</v>
      </c>
      <c r="AR17" s="219" t="s">
        <v>41</v>
      </c>
      <c r="AS17" t="s">
        <v>2</v>
      </c>
      <c r="AT17">
        <v>2</v>
      </c>
      <c r="AU17" s="269">
        <v>0.67</v>
      </c>
      <c r="AV17">
        <v>490000</v>
      </c>
      <c r="AW17" s="8" t="s">
        <v>46</v>
      </c>
      <c r="AX17" s="6">
        <f t="shared" si="6"/>
        <v>6.583333333333333</v>
      </c>
      <c r="AY17" s="9" t="str">
        <f t="shared" si="7"/>
        <v>GoodReg</v>
      </c>
      <c r="AZ17" s="9">
        <f t="shared" si="8"/>
        <v>6.583333333333333</v>
      </c>
      <c r="BA17" s="9" t="str">
        <f t="shared" si="9"/>
        <v>GoodReg</v>
      </c>
      <c r="BB17" s="9">
        <f t="shared" si="10"/>
        <v>6.583333333333333</v>
      </c>
      <c r="BC17" s="9" t="str">
        <f t="shared" si="11"/>
        <v>GoodReg</v>
      </c>
      <c r="BD17" s="84">
        <f t="shared" si="12"/>
        <v>2</v>
      </c>
      <c r="BE17" s="83">
        <f t="shared" si="13"/>
        <v>0</v>
      </c>
      <c r="BF17" t="str">
        <f t="shared" si="14"/>
        <v/>
      </c>
      <c r="BG17" s="91">
        <f>IF(O17="-","-",VLOOKUP($E17,CTPit!$E$10:$AW$175,BG$9,FALSE)-O17)</f>
        <v>0</v>
      </c>
      <c r="BH17" s="91">
        <f>IF(P17="-","-",VLOOKUP($E17,CTPit!$E$10:$AW$175,BH$9,FALSE)-P17)</f>
        <v>0</v>
      </c>
      <c r="BI17" s="91">
        <f>IF(Q17="-","-",VLOOKUP($E17,CTPit!$E$10:$AW$175,BI$9,FALSE)-Q17)</f>
        <v>0</v>
      </c>
      <c r="BJ17" s="91">
        <f>IF(R17="-","-",VLOOKUP($E17,CTPit!$E$10:$AW$175,BJ$9,FALSE)-R17)</f>
        <v>0</v>
      </c>
      <c r="BK17" s="91">
        <f>IF(S17="-","-",VLOOKUP($E17,CTPit!$E$10:$AW$175,BK$9,FALSE)-S17)</f>
        <v>0</v>
      </c>
      <c r="BL17" s="91">
        <f>IF(T17="-","-",VLOOKUP($E17,CTPit!$E$10:$AW$175,BL$9,FALSE)-T17)</f>
        <v>0</v>
      </c>
      <c r="BM17" s="91">
        <f>IF(U17="-","-",VLOOKUP($E17,CTPit!$E$10:$AW$175,BM$9,FALSE)-U17)</f>
        <v>0</v>
      </c>
      <c r="BN17" s="91">
        <f>IF(V17="-","-",VLOOKUP($E17,CTPit!$E$10:$AW$175,BN$9,FALSE)-V17)</f>
        <v>0</v>
      </c>
      <c r="BO17" s="91" t="str">
        <f>IF(W17="-","-",VLOOKUP($E17,CTPit!$E$10:$AW$175,BO$9,FALSE)-W17)</f>
        <v>-</v>
      </c>
      <c r="BP17" s="91" t="str">
        <f>IF(X17="-","-",VLOOKUP($E17,CTPit!$E$10:$AW$175,BP$9,FALSE)-X17)</f>
        <v>-</v>
      </c>
      <c r="BQ17" s="91" t="str">
        <f>IF(Y17="-","-",VLOOKUP($E17,CTPit!$E$10:$AW$175,BQ$9,FALSE)-Y17)</f>
        <v>-</v>
      </c>
      <c r="BR17" s="91" t="str">
        <f>IF(Z17="-","-",VLOOKUP($E17,CTPit!$E$10:$AW$175,BR$9,FALSE)-Z17)</f>
        <v>-</v>
      </c>
      <c r="BS17" s="91">
        <f>IF(AA17="-","-",VLOOKUP($E17,CTPit!$E$10:$AW$175,BS$9,FALSE)-AA17)</f>
        <v>0</v>
      </c>
      <c r="BT17" s="91">
        <f>IF(AB17="-","-",VLOOKUP($E17,CTPit!$E$10:$AW$175,BT$9,FALSE)-AB17)</f>
        <v>0</v>
      </c>
      <c r="BU17" s="91" t="str">
        <f>IF(AC17="-","-",VLOOKUP($E17,CTPit!$E$10:$AW$175,BU$9,FALSE)-AC17)</f>
        <v>-</v>
      </c>
      <c r="BV17" s="91" t="str">
        <f>IF(AD17="-","-",VLOOKUP($E17,CTPit!$E$10:$AW$175,BV$9,FALSE)-AD17)</f>
        <v>-</v>
      </c>
      <c r="BW17" s="91" t="str">
        <f>IF(AE17="-","-",VLOOKUP($E17,CTPit!$E$10:$AW$175,BW$9,FALSE)-AE17)</f>
        <v>-</v>
      </c>
      <c r="BX17" s="91" t="str">
        <f>IF(AF17="-","-",VLOOKUP($E17,CTPit!$E$10:$AW$175,BX$9,FALSE)-AF17)</f>
        <v>-</v>
      </c>
      <c r="BY17" s="91" t="str">
        <f>IF(AG17="-","-",VLOOKUP($E17,CTPit!$E$10:$AW$175,BY$9,FALSE)-AG17)</f>
        <v>-</v>
      </c>
      <c r="BZ17" s="91" t="str">
        <f>IF(AH17="-","-",VLOOKUP($E17,CTPit!$E$10:$AW$175,BZ$9,FALSE)-AH17)</f>
        <v>-</v>
      </c>
      <c r="CA17" s="91" t="str">
        <f>IF(AI17="-","-",VLOOKUP($E17,CTPit!$E$10:$AW$175,CA$9,FALSE)-AI17)</f>
        <v>-</v>
      </c>
      <c r="CB17" s="91" t="str">
        <f>IF(AJ17="-","-",VLOOKUP($E17,CTPit!$E$10:$AW$175,CB$9,FALSE)-AJ17)</f>
        <v>-</v>
      </c>
      <c r="CC17" s="91" t="str">
        <f>IF(AK17="-","-",VLOOKUP($E17,CTPit!$E$10:$AW$175,CC$9,FALSE)-AK17)</f>
        <v>-</v>
      </c>
      <c r="CD17" s="91" t="str">
        <f>IF(AL17="-","-",VLOOKUP($E17,CTPit!$E$10:$AW$175,CD$9,FALSE)-AL17)</f>
        <v>-</v>
      </c>
      <c r="CE17" s="91" t="str">
        <f>IF(AM17="-","-",VLOOKUP($E17,CTPit!$E$10:$AW$175,CE$9,FALSE)-AM17)</f>
        <v>-</v>
      </c>
      <c r="CF17" s="91" t="str">
        <f>IF(AN17="-","-",VLOOKUP($E17,CTPit!$E$10:$AW$175,CF$9,FALSE)-AN17)</f>
        <v>-</v>
      </c>
      <c r="CG17" s="91" t="str">
        <f>IF(AO17="-","-",VLOOKUP($E17,CTPit!$E$10:$AW$175,CG$9,FALSE)-AO17)</f>
        <v>-</v>
      </c>
      <c r="CH17" s="91" t="str">
        <f>IF(AP17="-","-",VLOOKUP($E17,CTPit!$E$10:$AW$175,CH$9,FALSE)-AP17)</f>
        <v>-</v>
      </c>
      <c r="CI17" s="91" t="str">
        <f>IF(AQ17="-","-",VLOOKUP($E17,CTPit!$E$10:$AW$175,CI$9,FALSE)-AQ17)</f>
        <v>-</v>
      </c>
      <c r="CJ17" s="91" t="str">
        <f>IF(AR17="-","-",VLOOKUP($E17,CTPit!$E$10:$AW$175,CJ$9,FALSE)-AR17)</f>
        <v>-</v>
      </c>
      <c r="CK17">
        <f t="shared" si="15"/>
        <v>0</v>
      </c>
    </row>
    <row r="18" spans="3:89">
      <c r="C18" t="str">
        <f t="shared" si="5"/>
        <v>K</v>
      </c>
      <c r="D18" t="s">
        <v>108</v>
      </c>
      <c r="E18" t="s">
        <v>489</v>
      </c>
      <c r="F18" t="s">
        <v>25</v>
      </c>
      <c r="G18" t="s">
        <v>207</v>
      </c>
      <c r="H18">
        <v>28</v>
      </c>
      <c r="I18" t="s">
        <v>104</v>
      </c>
      <c r="J18" s="219" t="s">
        <v>104</v>
      </c>
      <c r="K18" t="s">
        <v>42</v>
      </c>
      <c r="L18" t="s">
        <v>48</v>
      </c>
      <c r="M18" t="s">
        <v>224</v>
      </c>
      <c r="N18" s="219" t="s">
        <v>223</v>
      </c>
      <c r="O18">
        <v>7</v>
      </c>
      <c r="P18">
        <v>6</v>
      </c>
      <c r="Q18" s="219">
        <v>5</v>
      </c>
      <c r="R18">
        <v>7</v>
      </c>
      <c r="S18">
        <v>6</v>
      </c>
      <c r="T18" s="219">
        <v>6</v>
      </c>
      <c r="U18">
        <v>6</v>
      </c>
      <c r="V18">
        <v>6</v>
      </c>
      <c r="W18">
        <v>10</v>
      </c>
      <c r="X18">
        <v>10</v>
      </c>
      <c r="Y18" t="s">
        <v>41</v>
      </c>
      <c r="Z18" t="s">
        <v>41</v>
      </c>
      <c r="AA18">
        <v>6</v>
      </c>
      <c r="AB18">
        <v>6</v>
      </c>
      <c r="AC18" t="s">
        <v>41</v>
      </c>
      <c r="AD18" t="s">
        <v>41</v>
      </c>
      <c r="AE18" t="s">
        <v>41</v>
      </c>
      <c r="AF18" t="s">
        <v>41</v>
      </c>
      <c r="AG18" t="s">
        <v>41</v>
      </c>
      <c r="AH18" t="s">
        <v>41</v>
      </c>
      <c r="AI18" t="s">
        <v>41</v>
      </c>
      <c r="AJ18" t="s">
        <v>41</v>
      </c>
      <c r="AK18" t="s">
        <v>41</v>
      </c>
      <c r="AL18" t="s">
        <v>41</v>
      </c>
      <c r="AM18" t="s">
        <v>41</v>
      </c>
      <c r="AN18" t="s">
        <v>41</v>
      </c>
      <c r="AO18" t="s">
        <v>41</v>
      </c>
      <c r="AP18" t="s">
        <v>41</v>
      </c>
      <c r="AQ18" t="s">
        <v>41</v>
      </c>
      <c r="AR18" s="219" t="s">
        <v>41</v>
      </c>
      <c r="AS18" t="s">
        <v>3</v>
      </c>
      <c r="AT18">
        <v>5</v>
      </c>
      <c r="AU18" s="269">
        <v>0.6</v>
      </c>
      <c r="AV18">
        <v>490000</v>
      </c>
      <c r="AW18" s="219" t="s">
        <v>45</v>
      </c>
      <c r="AX18" s="6">
        <f t="shared" si="6"/>
        <v>6.5</v>
      </c>
      <c r="AY18" s="9" t="str">
        <f t="shared" si="7"/>
        <v>Reg</v>
      </c>
      <c r="AZ18" s="9">
        <f t="shared" si="8"/>
        <v>6.833333333333333</v>
      </c>
      <c r="BA18" s="9" t="str">
        <f t="shared" si="9"/>
        <v>GoodReg</v>
      </c>
      <c r="BB18" s="9">
        <f t="shared" si="10"/>
        <v>6.833333333333333</v>
      </c>
      <c r="BC18" s="9" t="str">
        <f t="shared" si="11"/>
        <v>GoodReg</v>
      </c>
      <c r="BD18" s="84">
        <f t="shared" si="12"/>
        <v>3</v>
      </c>
      <c r="BE18" s="83">
        <f t="shared" si="13"/>
        <v>3</v>
      </c>
      <c r="BF18" t="str">
        <f t="shared" si="14"/>
        <v/>
      </c>
      <c r="BG18" s="91">
        <f>IF(O18="-","-",VLOOKUP($E18,CTPit!$E$10:$AW$175,BG$9,FALSE)-O18)</f>
        <v>1</v>
      </c>
      <c r="BH18" s="91">
        <f>IF(P18="-","-",VLOOKUP($E18,CTPit!$E$10:$AW$175,BH$9,FALSE)-P18)</f>
        <v>0</v>
      </c>
      <c r="BI18" s="91">
        <f>IF(Q18="-","-",VLOOKUP($E18,CTPit!$E$10:$AW$175,BI$9,FALSE)-Q18)</f>
        <v>0</v>
      </c>
      <c r="BJ18" s="91">
        <f>IF(R18="-","-",VLOOKUP($E18,CTPit!$E$10:$AW$175,BJ$9,FALSE)-R18)</f>
        <v>1</v>
      </c>
      <c r="BK18" s="91">
        <f>IF(S18="-","-",VLOOKUP($E18,CTPit!$E$10:$AW$175,BK$9,FALSE)-S18)</f>
        <v>0</v>
      </c>
      <c r="BL18" s="91">
        <f>IF(T18="-","-",VLOOKUP($E18,CTPit!$E$10:$AW$175,BL$9,FALSE)-T18)</f>
        <v>-1</v>
      </c>
      <c r="BM18" s="91">
        <f>IF(U18="-","-",VLOOKUP($E18,CTPit!$E$10:$AW$175,BM$9,FALSE)-U18)</f>
        <v>0</v>
      </c>
      <c r="BN18" s="91">
        <f>IF(V18="-","-",VLOOKUP($E18,CTPit!$E$10:$AW$175,BN$9,FALSE)-V18)</f>
        <v>0</v>
      </c>
      <c r="BO18" s="91">
        <f>IF(W18="-","-",VLOOKUP($E18,CTPit!$E$10:$AW$175,BO$9,FALSE)-W18)</f>
        <v>0</v>
      </c>
      <c r="BP18" s="91">
        <f>IF(X18="-","-",VLOOKUP($E18,CTPit!$E$10:$AW$175,BP$9,FALSE)-X18)</f>
        <v>0</v>
      </c>
      <c r="BQ18" s="91" t="str">
        <f>IF(Y18="-","-",VLOOKUP($E18,CTPit!$E$10:$AW$175,BQ$9,FALSE)-Y18)</f>
        <v>-</v>
      </c>
      <c r="BR18" s="91" t="str">
        <f>IF(Z18="-","-",VLOOKUP($E18,CTPit!$E$10:$AW$175,BR$9,FALSE)-Z18)</f>
        <v>-</v>
      </c>
      <c r="BS18" s="91">
        <f>IF(AA18="-","-",VLOOKUP($E18,CTPit!$E$10:$AW$175,BS$9,FALSE)-AA18)</f>
        <v>0</v>
      </c>
      <c r="BT18" s="91">
        <f>IF(AB18="-","-",VLOOKUP($E18,CTPit!$E$10:$AW$175,BT$9,FALSE)-AB18)</f>
        <v>0</v>
      </c>
      <c r="BU18" s="91" t="str">
        <f>IF(AC18="-","-",VLOOKUP($E18,CTPit!$E$10:$AW$175,BU$9,FALSE)-AC18)</f>
        <v>-</v>
      </c>
      <c r="BV18" s="91" t="str">
        <f>IF(AD18="-","-",VLOOKUP($E18,CTPit!$E$10:$AW$175,BV$9,FALSE)-AD18)</f>
        <v>-</v>
      </c>
      <c r="BW18" s="91" t="str">
        <f>IF(AE18="-","-",VLOOKUP($E18,CTPit!$E$10:$AW$175,BW$9,FALSE)-AE18)</f>
        <v>-</v>
      </c>
      <c r="BX18" s="91" t="str">
        <f>IF(AF18="-","-",VLOOKUP($E18,CTPit!$E$10:$AW$175,BX$9,FALSE)-AF18)</f>
        <v>-</v>
      </c>
      <c r="BY18" s="91" t="str">
        <f>IF(AG18="-","-",VLOOKUP($E18,CTPit!$E$10:$AW$175,BY$9,FALSE)-AG18)</f>
        <v>-</v>
      </c>
      <c r="BZ18" s="91" t="str">
        <f>IF(AH18="-","-",VLOOKUP($E18,CTPit!$E$10:$AW$175,BZ$9,FALSE)-AH18)</f>
        <v>-</v>
      </c>
      <c r="CA18" s="91" t="str">
        <f>IF(AI18="-","-",VLOOKUP($E18,CTPit!$E$10:$AW$175,CA$9,FALSE)-AI18)</f>
        <v>-</v>
      </c>
      <c r="CB18" s="91" t="str">
        <f>IF(AJ18="-","-",VLOOKUP($E18,CTPit!$E$10:$AW$175,CB$9,FALSE)-AJ18)</f>
        <v>-</v>
      </c>
      <c r="CC18" s="91" t="str">
        <f>IF(AK18="-","-",VLOOKUP($E18,CTPit!$E$10:$AW$175,CC$9,FALSE)-AK18)</f>
        <v>-</v>
      </c>
      <c r="CD18" s="91" t="str">
        <f>IF(AL18="-","-",VLOOKUP($E18,CTPit!$E$10:$AW$175,CD$9,FALSE)-AL18)</f>
        <v>-</v>
      </c>
      <c r="CE18" s="91" t="str">
        <f>IF(AM18="-","-",VLOOKUP($E18,CTPit!$E$10:$AW$175,CE$9,FALSE)-AM18)</f>
        <v>-</v>
      </c>
      <c r="CF18" s="91" t="str">
        <f>IF(AN18="-","-",VLOOKUP($E18,CTPit!$E$10:$AW$175,CF$9,FALSE)-AN18)</f>
        <v>-</v>
      </c>
      <c r="CG18" s="91" t="str">
        <f>IF(AO18="-","-",VLOOKUP($E18,CTPit!$E$10:$AW$175,CG$9,FALSE)-AO18)</f>
        <v>-</v>
      </c>
      <c r="CH18" s="91" t="str">
        <f>IF(AP18="-","-",VLOOKUP($E18,CTPit!$E$10:$AW$175,CH$9,FALSE)-AP18)</f>
        <v>-</v>
      </c>
      <c r="CI18" s="91" t="str">
        <f>IF(AQ18="-","-",VLOOKUP($E18,CTPit!$E$10:$AW$175,CI$9,FALSE)-AQ18)</f>
        <v>-</v>
      </c>
      <c r="CJ18" s="91" t="str">
        <f>IF(AR18="-","-",VLOOKUP($E18,CTPit!$E$10:$AW$175,CJ$9,FALSE)-AR18)</f>
        <v>-</v>
      </c>
      <c r="CK18">
        <f t="shared" si="15"/>
        <v>1</v>
      </c>
    </row>
    <row r="19" spans="3:89">
      <c r="C19" t="str">
        <f t="shared" si="5"/>
        <v>K</v>
      </c>
      <c r="D19" t="s">
        <v>108</v>
      </c>
      <c r="E19" t="s">
        <v>409</v>
      </c>
      <c r="F19" t="s">
        <v>25</v>
      </c>
      <c r="G19" t="s">
        <v>207</v>
      </c>
      <c r="H19">
        <v>28</v>
      </c>
      <c r="I19" t="s">
        <v>103</v>
      </c>
      <c r="J19" s="219" t="s">
        <v>103</v>
      </c>
      <c r="K19" t="s">
        <v>42</v>
      </c>
      <c r="L19" t="s">
        <v>42</v>
      </c>
      <c r="M19" t="s">
        <v>224</v>
      </c>
      <c r="N19" s="219" t="s">
        <v>227</v>
      </c>
      <c r="O19">
        <v>8</v>
      </c>
      <c r="P19">
        <v>5</v>
      </c>
      <c r="Q19" s="219">
        <v>5</v>
      </c>
      <c r="R19">
        <v>8</v>
      </c>
      <c r="S19">
        <v>5</v>
      </c>
      <c r="T19" s="219">
        <v>5</v>
      </c>
      <c r="U19">
        <v>8</v>
      </c>
      <c r="V19">
        <v>8</v>
      </c>
      <c r="W19">
        <v>10</v>
      </c>
      <c r="X19">
        <v>10</v>
      </c>
      <c r="Y19" t="s">
        <v>41</v>
      </c>
      <c r="Z19" t="s">
        <v>41</v>
      </c>
      <c r="AA19">
        <v>8</v>
      </c>
      <c r="AB19">
        <v>8</v>
      </c>
      <c r="AC19" t="s">
        <v>41</v>
      </c>
      <c r="AD19" t="s">
        <v>41</v>
      </c>
      <c r="AE19" t="s">
        <v>41</v>
      </c>
      <c r="AF19" t="s">
        <v>41</v>
      </c>
      <c r="AG19" t="s">
        <v>41</v>
      </c>
      <c r="AH19" t="s">
        <v>41</v>
      </c>
      <c r="AI19" t="s">
        <v>41</v>
      </c>
      <c r="AJ19" t="s">
        <v>41</v>
      </c>
      <c r="AK19" t="s">
        <v>41</v>
      </c>
      <c r="AL19" t="s">
        <v>41</v>
      </c>
      <c r="AM19" t="s">
        <v>41</v>
      </c>
      <c r="AN19" t="s">
        <v>41</v>
      </c>
      <c r="AO19" t="s">
        <v>41</v>
      </c>
      <c r="AP19" t="s">
        <v>41</v>
      </c>
      <c r="AQ19" t="s">
        <v>41</v>
      </c>
      <c r="AR19" s="219" t="s">
        <v>41</v>
      </c>
      <c r="AS19" t="s">
        <v>11</v>
      </c>
      <c r="AT19">
        <v>8</v>
      </c>
      <c r="AU19" s="269">
        <v>0.37</v>
      </c>
      <c r="AV19">
        <v>490000</v>
      </c>
      <c r="AW19" s="219" t="s">
        <v>46</v>
      </c>
      <c r="AX19" s="6">
        <f t="shared" si="6"/>
        <v>6.25</v>
      </c>
      <c r="AY19" s="9" t="str">
        <f t="shared" si="7"/>
        <v>Reg</v>
      </c>
      <c r="AZ19" s="9">
        <f t="shared" si="8"/>
        <v>6.25</v>
      </c>
      <c r="BA19" s="9" t="str">
        <f t="shared" si="9"/>
        <v>Reg</v>
      </c>
      <c r="BB19" s="9">
        <f t="shared" si="10"/>
        <v>6.25</v>
      </c>
      <c r="BC19" s="9" t="str">
        <f t="shared" si="11"/>
        <v>Reg</v>
      </c>
      <c r="BD19" s="84">
        <f t="shared" si="12"/>
        <v>3</v>
      </c>
      <c r="BE19" s="83">
        <f t="shared" si="13"/>
        <v>3</v>
      </c>
      <c r="BF19" t="str">
        <f t="shared" si="14"/>
        <v/>
      </c>
      <c r="BG19" s="91">
        <f>IF(O19="-","-",VLOOKUP($E19,CTPit!$E$10:$AW$175,BG$9,FALSE)-O19)</f>
        <v>0</v>
      </c>
      <c r="BH19" s="91">
        <f>IF(P19="-","-",VLOOKUP($E19,CTPit!$E$10:$AW$175,BH$9,FALSE)-P19)</f>
        <v>0</v>
      </c>
      <c r="BI19" s="91">
        <f>IF(Q19="-","-",VLOOKUP($E19,CTPit!$E$10:$AW$175,BI$9,FALSE)-Q19)</f>
        <v>0</v>
      </c>
      <c r="BJ19" s="91">
        <f>IF(R19="-","-",VLOOKUP($E19,CTPit!$E$10:$AW$175,BJ$9,FALSE)-R19)</f>
        <v>0</v>
      </c>
      <c r="BK19" s="91">
        <f>IF(S19="-","-",VLOOKUP($E19,CTPit!$E$10:$AW$175,BK$9,FALSE)-S19)</f>
        <v>0</v>
      </c>
      <c r="BL19" s="91">
        <f>IF(T19="-","-",VLOOKUP($E19,CTPit!$E$10:$AW$175,BL$9,FALSE)-T19)</f>
        <v>0</v>
      </c>
      <c r="BM19" s="91">
        <f>IF(U19="-","-",VLOOKUP($E19,CTPit!$E$10:$AW$175,BM$9,FALSE)-U19)</f>
        <v>0</v>
      </c>
      <c r="BN19" s="91">
        <f>IF(V19="-","-",VLOOKUP($E19,CTPit!$E$10:$AW$175,BN$9,FALSE)-V19)</f>
        <v>0</v>
      </c>
      <c r="BO19" s="91">
        <f>IF(W19="-","-",VLOOKUP($E19,CTPit!$E$10:$AW$175,BO$9,FALSE)-W19)</f>
        <v>0</v>
      </c>
      <c r="BP19" s="91">
        <f>IF(X19="-","-",VLOOKUP($E19,CTPit!$E$10:$AW$175,BP$9,FALSE)-X19)</f>
        <v>0</v>
      </c>
      <c r="BQ19" s="91" t="str">
        <f>IF(Y19="-","-",VLOOKUP($E19,CTPit!$E$10:$AW$175,BQ$9,FALSE)-Y19)</f>
        <v>-</v>
      </c>
      <c r="BR19" s="91" t="str">
        <f>IF(Z19="-","-",VLOOKUP($E19,CTPit!$E$10:$AW$175,BR$9,FALSE)-Z19)</f>
        <v>-</v>
      </c>
      <c r="BS19" s="91">
        <f>IF(AA19="-","-",VLOOKUP($E19,CTPit!$E$10:$AW$175,BS$9,FALSE)-AA19)</f>
        <v>0</v>
      </c>
      <c r="BT19" s="91">
        <f>IF(AB19="-","-",VLOOKUP($E19,CTPit!$E$10:$AW$175,BT$9,FALSE)-AB19)</f>
        <v>0</v>
      </c>
      <c r="BU19" s="91" t="str">
        <f>IF(AC19="-","-",VLOOKUP($E19,CTPit!$E$10:$AW$175,BU$9,FALSE)-AC19)</f>
        <v>-</v>
      </c>
      <c r="BV19" s="91" t="str">
        <f>IF(AD19="-","-",VLOOKUP($E19,CTPit!$E$10:$AW$175,BV$9,FALSE)-AD19)</f>
        <v>-</v>
      </c>
      <c r="BW19" s="91" t="str">
        <f>IF(AE19="-","-",VLOOKUP($E19,CTPit!$E$10:$AW$175,BW$9,FALSE)-AE19)</f>
        <v>-</v>
      </c>
      <c r="BX19" s="91" t="str">
        <f>IF(AF19="-","-",VLOOKUP($E19,CTPit!$E$10:$AW$175,BX$9,FALSE)-AF19)</f>
        <v>-</v>
      </c>
      <c r="BY19" s="91" t="str">
        <f>IF(AG19="-","-",VLOOKUP($E19,CTPit!$E$10:$AW$175,BY$9,FALSE)-AG19)</f>
        <v>-</v>
      </c>
      <c r="BZ19" s="91" t="str">
        <f>IF(AH19="-","-",VLOOKUP($E19,CTPit!$E$10:$AW$175,BZ$9,FALSE)-AH19)</f>
        <v>-</v>
      </c>
      <c r="CA19" s="91" t="str">
        <f>IF(AI19="-","-",VLOOKUP($E19,CTPit!$E$10:$AW$175,CA$9,FALSE)-AI19)</f>
        <v>-</v>
      </c>
      <c r="CB19" s="91" t="str">
        <f>IF(AJ19="-","-",VLOOKUP($E19,CTPit!$E$10:$AW$175,CB$9,FALSE)-AJ19)</f>
        <v>-</v>
      </c>
      <c r="CC19" s="91" t="str">
        <f>IF(AK19="-","-",VLOOKUP($E19,CTPit!$E$10:$AW$175,CC$9,FALSE)-AK19)</f>
        <v>-</v>
      </c>
      <c r="CD19" s="91" t="str">
        <f>IF(AL19="-","-",VLOOKUP($E19,CTPit!$E$10:$AW$175,CD$9,FALSE)-AL19)</f>
        <v>-</v>
      </c>
      <c r="CE19" s="91" t="str">
        <f>IF(AM19="-","-",VLOOKUP($E19,CTPit!$E$10:$AW$175,CE$9,FALSE)-AM19)</f>
        <v>-</v>
      </c>
      <c r="CF19" s="91" t="str">
        <f>IF(AN19="-","-",VLOOKUP($E19,CTPit!$E$10:$AW$175,CF$9,FALSE)-AN19)</f>
        <v>-</v>
      </c>
      <c r="CG19" s="91" t="str">
        <f>IF(AO19="-","-",VLOOKUP($E19,CTPit!$E$10:$AW$175,CG$9,FALSE)-AO19)</f>
        <v>-</v>
      </c>
      <c r="CH19" s="91" t="str">
        <f>IF(AP19="-","-",VLOOKUP($E19,CTPit!$E$10:$AW$175,CH$9,FALSE)-AP19)</f>
        <v>-</v>
      </c>
      <c r="CI19" s="91" t="str">
        <f>IF(AQ19="-","-",VLOOKUP($E19,CTPit!$E$10:$AW$175,CI$9,FALSE)-AQ19)</f>
        <v>-</v>
      </c>
      <c r="CJ19" s="91" t="str">
        <f>IF(AR19="-","-",VLOOKUP($E19,CTPit!$E$10:$AW$175,CJ$9,FALSE)-AR19)</f>
        <v>-</v>
      </c>
      <c r="CK19">
        <f t="shared" si="15"/>
        <v>0</v>
      </c>
    </row>
    <row r="20" spans="3:89">
      <c r="C20" t="str">
        <f t="shared" si="5"/>
        <v>K</v>
      </c>
      <c r="D20" t="s">
        <v>107</v>
      </c>
      <c r="E20" t="s">
        <v>414</v>
      </c>
      <c r="F20" t="s">
        <v>25</v>
      </c>
      <c r="G20" t="s">
        <v>207</v>
      </c>
      <c r="H20">
        <v>23</v>
      </c>
      <c r="I20" t="s">
        <v>103</v>
      </c>
      <c r="J20" s="219" t="s">
        <v>103</v>
      </c>
      <c r="K20" t="s">
        <v>42</v>
      </c>
      <c r="L20" t="s">
        <v>42</v>
      </c>
      <c r="M20" t="s">
        <v>226</v>
      </c>
      <c r="N20" s="219" t="s">
        <v>225</v>
      </c>
      <c r="O20">
        <v>8</v>
      </c>
      <c r="P20">
        <v>6</v>
      </c>
      <c r="Q20" s="219">
        <v>3</v>
      </c>
      <c r="R20">
        <v>9</v>
      </c>
      <c r="S20">
        <v>6</v>
      </c>
      <c r="T20" s="219">
        <v>3</v>
      </c>
      <c r="U20">
        <v>8</v>
      </c>
      <c r="V20">
        <v>9</v>
      </c>
      <c r="W20">
        <v>4</v>
      </c>
      <c r="X20">
        <v>5</v>
      </c>
      <c r="Y20" t="s">
        <v>41</v>
      </c>
      <c r="Z20" t="s">
        <v>41</v>
      </c>
      <c r="AA20">
        <v>6</v>
      </c>
      <c r="AB20">
        <v>6</v>
      </c>
      <c r="AC20" t="s">
        <v>41</v>
      </c>
      <c r="AD20" t="s">
        <v>41</v>
      </c>
      <c r="AE20" t="s">
        <v>41</v>
      </c>
      <c r="AF20" t="s">
        <v>41</v>
      </c>
      <c r="AG20" t="s">
        <v>41</v>
      </c>
      <c r="AH20" t="s">
        <v>41</v>
      </c>
      <c r="AI20" t="s">
        <v>41</v>
      </c>
      <c r="AJ20" t="s">
        <v>41</v>
      </c>
      <c r="AK20" t="s">
        <v>41</v>
      </c>
      <c r="AL20" t="s">
        <v>41</v>
      </c>
      <c r="AM20" t="s">
        <v>41</v>
      </c>
      <c r="AN20" t="s">
        <v>41</v>
      </c>
      <c r="AO20" t="s">
        <v>41</v>
      </c>
      <c r="AP20" t="s">
        <v>41</v>
      </c>
      <c r="AQ20" t="s">
        <v>41</v>
      </c>
      <c r="AR20" s="219" t="s">
        <v>41</v>
      </c>
      <c r="AS20" t="s">
        <v>402</v>
      </c>
      <c r="AT20">
        <v>10</v>
      </c>
      <c r="AU20" s="11">
        <v>0.61</v>
      </c>
      <c r="AV20" s="85">
        <v>828000</v>
      </c>
      <c r="AW20" s="219" t="s">
        <v>45</v>
      </c>
      <c r="AX20" s="6">
        <f t="shared" si="6"/>
        <v>6.166666666666667</v>
      </c>
      <c r="AY20" s="9" t="str">
        <f t="shared" si="7"/>
        <v>Reg</v>
      </c>
      <c r="AZ20" s="9">
        <f t="shared" si="8"/>
        <v>6.5</v>
      </c>
      <c r="BA20" s="9" t="str">
        <f t="shared" si="9"/>
        <v>Reg</v>
      </c>
      <c r="BB20" s="9">
        <f t="shared" si="10"/>
        <v>6.5</v>
      </c>
      <c r="BC20" s="9" t="str">
        <f t="shared" si="11"/>
        <v>Reg</v>
      </c>
      <c r="BD20" s="84">
        <f t="shared" si="12"/>
        <v>3</v>
      </c>
      <c r="BE20" s="83">
        <f t="shared" si="13"/>
        <v>2</v>
      </c>
      <c r="BF20" t="str">
        <f t="shared" si="14"/>
        <v/>
      </c>
      <c r="BG20" s="91">
        <f>IF(O20="-","-",VLOOKUP($E20,CTPit!$E$10:$AW$175,BG$9,FALSE)-O20)</f>
        <v>1</v>
      </c>
      <c r="BH20" s="91">
        <f>IF(P20="-","-",VLOOKUP($E20,CTPit!$E$10:$AW$175,BH$9,FALSE)-P20)</f>
        <v>0</v>
      </c>
      <c r="BI20" s="91">
        <f>IF(Q20="-","-",VLOOKUP($E20,CTPit!$E$10:$AW$175,BI$9,FALSE)-Q20)</f>
        <v>-1</v>
      </c>
      <c r="BJ20" s="91">
        <f>IF(R20="-","-",VLOOKUP($E20,CTPit!$E$10:$AW$175,BJ$9,FALSE)-R20)</f>
        <v>0</v>
      </c>
      <c r="BK20" s="91">
        <f>IF(S20="-","-",VLOOKUP($E20,CTPit!$E$10:$AW$175,BK$9,FALSE)-S20)</f>
        <v>0</v>
      </c>
      <c r="BL20" s="91">
        <f>IF(T20="-","-",VLOOKUP($E20,CTPit!$E$10:$AW$175,BL$9,FALSE)-T20)</f>
        <v>-1</v>
      </c>
      <c r="BM20" s="91">
        <f>IF(U20="-","-",VLOOKUP($E20,CTPit!$E$10:$AW$175,BM$9,FALSE)-U20)</f>
        <v>1</v>
      </c>
      <c r="BN20" s="91">
        <f>IF(V20="-","-",VLOOKUP($E20,CTPit!$E$10:$AW$175,BN$9,FALSE)-V20)</f>
        <v>0</v>
      </c>
      <c r="BO20" s="91">
        <f>IF(W20="-","-",VLOOKUP($E20,CTPit!$E$10:$AW$175,BO$9,FALSE)-W20)</f>
        <v>0</v>
      </c>
      <c r="BP20" s="91">
        <f>IF(X20="-","-",VLOOKUP($E20,CTPit!$E$10:$AW$175,BP$9,FALSE)-X20)</f>
        <v>0</v>
      </c>
      <c r="BQ20" s="91" t="str">
        <f>IF(Y20="-","-",VLOOKUP($E20,CTPit!$E$10:$AW$175,BQ$9,FALSE)-Y20)</f>
        <v>-</v>
      </c>
      <c r="BR20" s="91" t="str">
        <f>IF(Z20="-","-",VLOOKUP($E20,CTPit!$E$10:$AW$175,BR$9,FALSE)-Z20)</f>
        <v>-</v>
      </c>
      <c r="BS20" s="91">
        <f>IF(AA20="-","-",VLOOKUP($E20,CTPit!$E$10:$AW$175,BS$9,FALSE)-AA20)</f>
        <v>0</v>
      </c>
      <c r="BT20" s="91">
        <f>IF(AB20="-","-",VLOOKUP($E20,CTPit!$E$10:$AW$175,BT$9,FALSE)-AB20)</f>
        <v>0</v>
      </c>
      <c r="BU20" s="91" t="str">
        <f>IF(AC20="-","-",VLOOKUP($E20,CTPit!$E$10:$AW$175,BU$9,FALSE)-AC20)</f>
        <v>-</v>
      </c>
      <c r="BV20" s="91" t="str">
        <f>IF(AD20="-","-",VLOOKUP($E20,CTPit!$E$10:$AW$175,BV$9,FALSE)-AD20)</f>
        <v>-</v>
      </c>
      <c r="BW20" s="91" t="str">
        <f>IF(AE20="-","-",VLOOKUP($E20,CTPit!$E$10:$AW$175,BW$9,FALSE)-AE20)</f>
        <v>-</v>
      </c>
      <c r="BX20" s="91" t="str">
        <f>IF(AF20="-","-",VLOOKUP($E20,CTPit!$E$10:$AW$175,BX$9,FALSE)-AF20)</f>
        <v>-</v>
      </c>
      <c r="BY20" s="91" t="str">
        <f>IF(AG20="-","-",VLOOKUP($E20,CTPit!$E$10:$AW$175,BY$9,FALSE)-AG20)</f>
        <v>-</v>
      </c>
      <c r="BZ20" s="91" t="str">
        <f>IF(AH20="-","-",VLOOKUP($E20,CTPit!$E$10:$AW$175,BZ$9,FALSE)-AH20)</f>
        <v>-</v>
      </c>
      <c r="CA20" s="91" t="str">
        <f>IF(AI20="-","-",VLOOKUP($E20,CTPit!$E$10:$AW$175,CA$9,FALSE)-AI20)</f>
        <v>-</v>
      </c>
      <c r="CB20" s="91" t="str">
        <f>IF(AJ20="-","-",VLOOKUP($E20,CTPit!$E$10:$AW$175,CB$9,FALSE)-AJ20)</f>
        <v>-</v>
      </c>
      <c r="CC20" s="91" t="str">
        <f>IF(AK20="-","-",VLOOKUP($E20,CTPit!$E$10:$AW$175,CC$9,FALSE)-AK20)</f>
        <v>-</v>
      </c>
      <c r="CD20" s="91" t="str">
        <f>IF(AL20="-","-",VLOOKUP($E20,CTPit!$E$10:$AW$175,CD$9,FALSE)-AL20)</f>
        <v>-</v>
      </c>
      <c r="CE20" s="91" t="str">
        <f>IF(AM20="-","-",VLOOKUP($E20,CTPit!$E$10:$AW$175,CE$9,FALSE)-AM20)</f>
        <v>-</v>
      </c>
      <c r="CF20" s="91" t="str">
        <f>IF(AN20="-","-",VLOOKUP($E20,CTPit!$E$10:$AW$175,CF$9,FALSE)-AN20)</f>
        <v>-</v>
      </c>
      <c r="CG20" s="91" t="str">
        <f>IF(AO20="-","-",VLOOKUP($E20,CTPit!$E$10:$AW$175,CG$9,FALSE)-AO20)</f>
        <v>-</v>
      </c>
      <c r="CH20" s="91" t="str">
        <f>IF(AP20="-","-",VLOOKUP($E20,CTPit!$E$10:$AW$175,CH$9,FALSE)-AP20)</f>
        <v>-</v>
      </c>
      <c r="CI20" s="91" t="str">
        <f>IF(AQ20="-","-",VLOOKUP($E20,CTPit!$E$10:$AW$175,CI$9,FALSE)-AQ20)</f>
        <v>-</v>
      </c>
      <c r="CJ20" s="91" t="str">
        <f>IF(AR20="-","-",VLOOKUP($E20,CTPit!$E$10:$AW$175,CJ$9,FALSE)-AR20)</f>
        <v>-</v>
      </c>
      <c r="CK20">
        <f t="shared" si="15"/>
        <v>0</v>
      </c>
    </row>
    <row r="21" spans="3:89">
      <c r="C21" t="str">
        <f t="shared" si="5"/>
        <v>K</v>
      </c>
      <c r="D21" t="s">
        <v>107</v>
      </c>
      <c r="E21" t="s">
        <v>49</v>
      </c>
      <c r="F21" t="s">
        <v>25</v>
      </c>
      <c r="G21" t="s">
        <v>207</v>
      </c>
      <c r="H21">
        <v>28</v>
      </c>
      <c r="I21" t="s">
        <v>104</v>
      </c>
      <c r="J21" s="219" t="s">
        <v>103</v>
      </c>
      <c r="K21" t="s">
        <v>42</v>
      </c>
      <c r="L21" t="s">
        <v>40</v>
      </c>
      <c r="M21" t="s">
        <v>223</v>
      </c>
      <c r="N21" s="219" t="s">
        <v>227</v>
      </c>
      <c r="O21">
        <v>9</v>
      </c>
      <c r="P21">
        <v>5</v>
      </c>
      <c r="Q21" s="219">
        <v>3</v>
      </c>
      <c r="R21">
        <v>9</v>
      </c>
      <c r="S21">
        <v>5</v>
      </c>
      <c r="T21" s="219">
        <v>4</v>
      </c>
      <c r="U21">
        <v>9</v>
      </c>
      <c r="V21">
        <v>9</v>
      </c>
      <c r="W21">
        <v>7</v>
      </c>
      <c r="X21">
        <v>7</v>
      </c>
      <c r="Y21" t="s">
        <v>41</v>
      </c>
      <c r="Z21" t="s">
        <v>41</v>
      </c>
      <c r="AA21" t="s">
        <v>41</v>
      </c>
      <c r="AB21" t="s">
        <v>41</v>
      </c>
      <c r="AC21" t="s">
        <v>41</v>
      </c>
      <c r="AD21" t="s">
        <v>41</v>
      </c>
      <c r="AE21" t="s">
        <v>41</v>
      </c>
      <c r="AF21" t="s">
        <v>41</v>
      </c>
      <c r="AG21" t="s">
        <v>41</v>
      </c>
      <c r="AH21" t="s">
        <v>41</v>
      </c>
      <c r="AI21" t="s">
        <v>41</v>
      </c>
      <c r="AJ21" t="s">
        <v>41</v>
      </c>
      <c r="AK21" t="s">
        <v>41</v>
      </c>
      <c r="AL21" t="s">
        <v>41</v>
      </c>
      <c r="AM21">
        <v>4</v>
      </c>
      <c r="AN21">
        <v>4</v>
      </c>
      <c r="AO21" t="s">
        <v>41</v>
      </c>
      <c r="AP21" t="s">
        <v>41</v>
      </c>
      <c r="AQ21" t="s">
        <v>41</v>
      </c>
      <c r="AR21" s="219" t="s">
        <v>41</v>
      </c>
      <c r="AS21" t="s">
        <v>14</v>
      </c>
      <c r="AT21">
        <v>1</v>
      </c>
      <c r="AU21" s="11">
        <v>0.53</v>
      </c>
      <c r="AV21" s="85">
        <v>490000</v>
      </c>
      <c r="AW21" s="219" t="s">
        <v>45</v>
      </c>
      <c r="AX21" s="6">
        <f t="shared" si="6"/>
        <v>5.916666666666667</v>
      </c>
      <c r="AY21" s="9" t="str">
        <f t="shared" si="7"/>
        <v>Reg</v>
      </c>
      <c r="AZ21" s="9">
        <f t="shared" si="8"/>
        <v>6.25</v>
      </c>
      <c r="BA21" s="9" t="str">
        <f t="shared" si="9"/>
        <v>Reg</v>
      </c>
      <c r="BB21" s="9">
        <f t="shared" si="10"/>
        <v>6.25</v>
      </c>
      <c r="BC21" s="9" t="str">
        <f t="shared" si="11"/>
        <v>Reg</v>
      </c>
      <c r="BD21" s="84">
        <f t="shared" si="12"/>
        <v>3</v>
      </c>
      <c r="BE21" s="83">
        <f t="shared" si="13"/>
        <v>2</v>
      </c>
      <c r="BF21" t="str">
        <f t="shared" si="14"/>
        <v/>
      </c>
      <c r="BG21" s="91">
        <f>IF(O21="-","-",VLOOKUP($E21,CTPit!$E$10:$AW$175,BG$9,FALSE)-O21)</f>
        <v>0</v>
      </c>
      <c r="BH21" s="91">
        <f>IF(P21="-","-",VLOOKUP($E21,CTPit!$E$10:$AW$175,BH$9,FALSE)-P21)</f>
        <v>0</v>
      </c>
      <c r="BI21" s="91">
        <f>IF(Q21="-","-",VLOOKUP($E21,CTPit!$E$10:$AW$175,BI$9,FALSE)-Q21)</f>
        <v>1</v>
      </c>
      <c r="BJ21" s="91">
        <f>IF(R21="-","-",VLOOKUP($E21,CTPit!$E$10:$AW$175,BJ$9,FALSE)-R21)</f>
        <v>0</v>
      </c>
      <c r="BK21" s="91">
        <f>IF(S21="-","-",VLOOKUP($E21,CTPit!$E$10:$AW$175,BK$9,FALSE)-S21)</f>
        <v>0</v>
      </c>
      <c r="BL21" s="91">
        <f>IF(T21="-","-",VLOOKUP($E21,CTPit!$E$10:$AW$175,BL$9,FALSE)-T21)</f>
        <v>0</v>
      </c>
      <c r="BM21" s="91">
        <f>IF(U21="-","-",VLOOKUP($E21,CTPit!$E$10:$AW$175,BM$9,FALSE)-U21)</f>
        <v>0</v>
      </c>
      <c r="BN21" s="91">
        <f>IF(V21="-","-",VLOOKUP($E21,CTPit!$E$10:$AW$175,BN$9,FALSE)-V21)</f>
        <v>0</v>
      </c>
      <c r="BO21" s="91">
        <f>IF(W21="-","-",VLOOKUP($E21,CTPit!$E$10:$AW$175,BO$9,FALSE)-W21)</f>
        <v>0</v>
      </c>
      <c r="BP21" s="91">
        <f>IF(X21="-","-",VLOOKUP($E21,CTPit!$E$10:$AW$175,BP$9,FALSE)-X21)</f>
        <v>0</v>
      </c>
      <c r="BQ21" s="91" t="str">
        <f>IF(Y21="-","-",VLOOKUP($E21,CTPit!$E$10:$AW$175,BQ$9,FALSE)-Y21)</f>
        <v>-</v>
      </c>
      <c r="BR21" s="91" t="str">
        <f>IF(Z21="-","-",VLOOKUP($E21,CTPit!$E$10:$AW$175,BR$9,FALSE)-Z21)</f>
        <v>-</v>
      </c>
      <c r="BS21" s="91" t="str">
        <f>IF(AA21="-","-",VLOOKUP($E21,CTPit!$E$10:$AW$175,BS$9,FALSE)-AA21)</f>
        <v>-</v>
      </c>
      <c r="BT21" s="91" t="str">
        <f>IF(AB21="-","-",VLOOKUP($E21,CTPit!$E$10:$AW$175,BT$9,FALSE)-AB21)</f>
        <v>-</v>
      </c>
      <c r="BU21" s="91" t="str">
        <f>IF(AC21="-","-",VLOOKUP($E21,CTPit!$E$10:$AW$175,BU$9,FALSE)-AC21)</f>
        <v>-</v>
      </c>
      <c r="BV21" s="91" t="str">
        <f>IF(AD21="-","-",VLOOKUP($E21,CTPit!$E$10:$AW$175,BV$9,FALSE)-AD21)</f>
        <v>-</v>
      </c>
      <c r="BW21" s="91" t="str">
        <f>IF(AE21="-","-",VLOOKUP($E21,CTPit!$E$10:$AW$175,BW$9,FALSE)-AE21)</f>
        <v>-</v>
      </c>
      <c r="BX21" s="91" t="str">
        <f>IF(AF21="-","-",VLOOKUP($E21,CTPit!$E$10:$AW$175,BX$9,FALSE)-AF21)</f>
        <v>-</v>
      </c>
      <c r="BY21" s="91" t="str">
        <f>IF(AG21="-","-",VLOOKUP($E21,CTPit!$E$10:$AW$175,BY$9,FALSE)-AG21)</f>
        <v>-</v>
      </c>
      <c r="BZ21" s="91" t="str">
        <f>IF(AH21="-","-",VLOOKUP($E21,CTPit!$E$10:$AW$175,BZ$9,FALSE)-AH21)</f>
        <v>-</v>
      </c>
      <c r="CA21" s="91" t="str">
        <f>IF(AI21="-","-",VLOOKUP($E21,CTPit!$E$10:$AW$175,CA$9,FALSE)-AI21)</f>
        <v>-</v>
      </c>
      <c r="CB21" s="91" t="str">
        <f>IF(AJ21="-","-",VLOOKUP($E21,CTPit!$E$10:$AW$175,CB$9,FALSE)-AJ21)</f>
        <v>-</v>
      </c>
      <c r="CC21" s="91" t="str">
        <f>IF(AK21="-","-",VLOOKUP($E21,CTPit!$E$10:$AW$175,CC$9,FALSE)-AK21)</f>
        <v>-</v>
      </c>
      <c r="CD21" s="91" t="str">
        <f>IF(AL21="-","-",VLOOKUP($E21,CTPit!$E$10:$AW$175,CD$9,FALSE)-AL21)</f>
        <v>-</v>
      </c>
      <c r="CE21" s="91">
        <f>IF(AM21="-","-",VLOOKUP($E21,CTPit!$E$10:$AW$175,CE$9,FALSE)-AM21)</f>
        <v>0</v>
      </c>
      <c r="CF21" s="91">
        <f>IF(AN21="-","-",VLOOKUP($E21,CTPit!$E$10:$AW$175,CF$9,FALSE)-AN21)</f>
        <v>0</v>
      </c>
      <c r="CG21" s="91" t="str">
        <f>IF(AO21="-","-",VLOOKUP($E21,CTPit!$E$10:$AW$175,CG$9,FALSE)-AO21)</f>
        <v>-</v>
      </c>
      <c r="CH21" s="91" t="str">
        <f>IF(AP21="-","-",VLOOKUP($E21,CTPit!$E$10:$AW$175,CH$9,FALSE)-AP21)</f>
        <v>-</v>
      </c>
      <c r="CI21" s="91" t="str">
        <f>IF(AQ21="-","-",VLOOKUP($E21,CTPit!$E$10:$AW$175,CI$9,FALSE)-AQ21)</f>
        <v>-</v>
      </c>
      <c r="CJ21" s="91" t="str">
        <f>IF(AR21="-","-",VLOOKUP($E21,CTPit!$E$10:$AW$175,CJ$9,FALSE)-AR21)</f>
        <v>-</v>
      </c>
      <c r="CK21">
        <f t="shared" si="15"/>
        <v>1</v>
      </c>
    </row>
    <row r="22" spans="3:89">
      <c r="C22" t="str">
        <f t="shared" si="5"/>
        <v>K</v>
      </c>
      <c r="D22" t="s">
        <v>107</v>
      </c>
      <c r="E22" t="s">
        <v>424</v>
      </c>
      <c r="F22" t="s">
        <v>372</v>
      </c>
      <c r="G22" t="s">
        <v>209</v>
      </c>
      <c r="H22">
        <v>22</v>
      </c>
      <c r="I22" t="s">
        <v>104</v>
      </c>
      <c r="J22" s="219" t="s">
        <v>104</v>
      </c>
      <c r="K22" t="s">
        <v>42</v>
      </c>
      <c r="L22" t="s">
        <v>40</v>
      </c>
      <c r="M22" t="s">
        <v>226</v>
      </c>
      <c r="N22" s="219" t="s">
        <v>226</v>
      </c>
      <c r="O22">
        <v>9</v>
      </c>
      <c r="P22">
        <v>6</v>
      </c>
      <c r="Q22" s="219">
        <v>3</v>
      </c>
      <c r="R22">
        <v>9</v>
      </c>
      <c r="S22">
        <v>6</v>
      </c>
      <c r="T22" s="219">
        <v>4</v>
      </c>
      <c r="U22">
        <v>9</v>
      </c>
      <c r="V22">
        <v>9</v>
      </c>
      <c r="W22" t="s">
        <v>41</v>
      </c>
      <c r="X22" t="s">
        <v>41</v>
      </c>
      <c r="Y22" t="s">
        <v>41</v>
      </c>
      <c r="Z22" t="s">
        <v>41</v>
      </c>
      <c r="AA22">
        <v>7</v>
      </c>
      <c r="AB22">
        <v>7</v>
      </c>
      <c r="AC22">
        <v>6</v>
      </c>
      <c r="AD22">
        <v>6</v>
      </c>
      <c r="AE22" t="s">
        <v>41</v>
      </c>
      <c r="AF22" t="s">
        <v>41</v>
      </c>
      <c r="AG22" t="s">
        <v>41</v>
      </c>
      <c r="AH22" t="s">
        <v>41</v>
      </c>
      <c r="AI22" t="s">
        <v>41</v>
      </c>
      <c r="AJ22" t="s">
        <v>41</v>
      </c>
      <c r="AK22" t="s">
        <v>41</v>
      </c>
      <c r="AL22" t="s">
        <v>41</v>
      </c>
      <c r="AM22" t="s">
        <v>41</v>
      </c>
      <c r="AN22" t="s">
        <v>41</v>
      </c>
      <c r="AO22" t="s">
        <v>41</v>
      </c>
      <c r="AP22" t="s">
        <v>41</v>
      </c>
      <c r="AQ22" t="s">
        <v>41</v>
      </c>
      <c r="AR22" s="219" t="s">
        <v>41</v>
      </c>
      <c r="AS22" t="s">
        <v>434</v>
      </c>
      <c r="AT22">
        <v>2</v>
      </c>
      <c r="AU22" s="11">
        <v>0.5</v>
      </c>
      <c r="AV22" s="85" t="s">
        <v>41</v>
      </c>
      <c r="AW22" s="219">
        <v>0</v>
      </c>
      <c r="AX22" s="6">
        <f t="shared" si="6"/>
        <v>6.25</v>
      </c>
      <c r="AY22" s="9" t="str">
        <f t="shared" si="7"/>
        <v>Reg</v>
      </c>
      <c r="AZ22" s="9">
        <f t="shared" si="8"/>
        <v>6.583333333333333</v>
      </c>
      <c r="BA22" s="9" t="str">
        <f t="shared" si="9"/>
        <v>GoodReg</v>
      </c>
      <c r="BB22" s="9">
        <f t="shared" si="10"/>
        <v>6.583333333333333</v>
      </c>
      <c r="BC22" s="9" t="str">
        <f t="shared" si="11"/>
        <v>GoodReg</v>
      </c>
      <c r="BD22" s="84">
        <f t="shared" si="12"/>
        <v>3</v>
      </c>
      <c r="BE22" s="83">
        <f t="shared" si="13"/>
        <v>3</v>
      </c>
      <c r="BF22" t="str">
        <f t="shared" si="14"/>
        <v/>
      </c>
      <c r="BG22" s="91" t="e">
        <f>IF(O22="-","-",VLOOKUP($E22,CTPit!$E$10:$AW$175,BG$9,FALSE)-O22)</f>
        <v>#N/A</v>
      </c>
      <c r="BH22" s="91" t="e">
        <f>IF(P22="-","-",VLOOKUP($E22,CTPit!$E$10:$AW$175,BH$9,FALSE)-P22)</f>
        <v>#N/A</v>
      </c>
      <c r="BI22" s="91" t="e">
        <f>IF(Q22="-","-",VLOOKUP($E22,CTPit!$E$10:$AW$175,BI$9,FALSE)-Q22)</f>
        <v>#N/A</v>
      </c>
      <c r="BJ22" s="91" t="e">
        <f>IF(R22="-","-",VLOOKUP($E22,CTPit!$E$10:$AW$175,BJ$9,FALSE)-R22)</f>
        <v>#N/A</v>
      </c>
      <c r="BK22" s="91" t="e">
        <f>IF(S22="-","-",VLOOKUP($E22,CTPit!$E$10:$AW$175,BK$9,FALSE)-S22)</f>
        <v>#N/A</v>
      </c>
      <c r="BL22" s="91" t="e">
        <f>IF(T22="-","-",VLOOKUP($E22,CTPit!$E$10:$AW$175,BL$9,FALSE)-T22)</f>
        <v>#N/A</v>
      </c>
      <c r="BM22" s="91" t="e">
        <f>IF(U22="-","-",VLOOKUP($E22,CTPit!$E$10:$AW$175,BM$9,FALSE)-U22)</f>
        <v>#N/A</v>
      </c>
      <c r="BN22" s="91" t="e">
        <f>IF(V22="-","-",VLOOKUP($E22,CTPit!$E$10:$AW$175,BN$9,FALSE)-V22)</f>
        <v>#N/A</v>
      </c>
      <c r="BO22" s="91" t="str">
        <f>IF(W22="-","-",VLOOKUP($E22,CTPit!$E$10:$AW$175,BO$9,FALSE)-W22)</f>
        <v>-</v>
      </c>
      <c r="BP22" s="91" t="str">
        <f>IF(X22="-","-",VLOOKUP($E22,CTPit!$E$10:$AW$175,BP$9,FALSE)-X22)</f>
        <v>-</v>
      </c>
      <c r="BQ22" s="91" t="str">
        <f>IF(Y22="-","-",VLOOKUP($E22,CTPit!$E$10:$AW$175,BQ$9,FALSE)-Y22)</f>
        <v>-</v>
      </c>
      <c r="BR22" s="91" t="str">
        <f>IF(Z22="-","-",VLOOKUP($E22,CTPit!$E$10:$AW$175,BR$9,FALSE)-Z22)</f>
        <v>-</v>
      </c>
      <c r="BS22" s="91" t="e">
        <f>IF(AA22="-","-",VLOOKUP($E22,CTPit!$E$10:$AW$175,BS$9,FALSE)-AA22)</f>
        <v>#N/A</v>
      </c>
      <c r="BT22" s="91" t="e">
        <f>IF(AB22="-","-",VLOOKUP($E22,CTPit!$E$10:$AW$175,BT$9,FALSE)-AB22)</f>
        <v>#N/A</v>
      </c>
      <c r="BU22" s="91" t="e">
        <f>IF(AC22="-","-",VLOOKUP($E22,CTPit!$E$10:$AW$175,BU$9,FALSE)-AC22)</f>
        <v>#N/A</v>
      </c>
      <c r="BV22" s="91" t="e">
        <f>IF(AD22="-","-",VLOOKUP($E22,CTPit!$E$10:$AW$175,BV$9,FALSE)-AD22)</f>
        <v>#N/A</v>
      </c>
      <c r="BW22" s="91" t="str">
        <f>IF(AE22="-","-",VLOOKUP($E22,CTPit!$E$10:$AW$175,BW$9,FALSE)-AE22)</f>
        <v>-</v>
      </c>
      <c r="BX22" s="91" t="str">
        <f>IF(AF22="-","-",VLOOKUP($E22,CTPit!$E$10:$AW$175,BX$9,FALSE)-AF22)</f>
        <v>-</v>
      </c>
      <c r="BY22" s="91" t="str">
        <f>IF(AG22="-","-",VLOOKUP($E22,CTPit!$E$10:$AW$175,BY$9,FALSE)-AG22)</f>
        <v>-</v>
      </c>
      <c r="BZ22" s="91" t="str">
        <f>IF(AH22="-","-",VLOOKUP($E22,CTPit!$E$10:$AW$175,BZ$9,FALSE)-AH22)</f>
        <v>-</v>
      </c>
      <c r="CA22" s="91" t="str">
        <f>IF(AI22="-","-",VLOOKUP($E22,CTPit!$E$10:$AW$175,CA$9,FALSE)-AI22)</f>
        <v>-</v>
      </c>
      <c r="CB22" s="91" t="str">
        <f>IF(AJ22="-","-",VLOOKUP($E22,CTPit!$E$10:$AW$175,CB$9,FALSE)-AJ22)</f>
        <v>-</v>
      </c>
      <c r="CC22" s="91" t="str">
        <f>IF(AK22="-","-",VLOOKUP($E22,CTPit!$E$10:$AW$175,CC$9,FALSE)-AK22)</f>
        <v>-</v>
      </c>
      <c r="CD22" s="91" t="str">
        <f>IF(AL22="-","-",VLOOKUP($E22,CTPit!$E$10:$AW$175,CD$9,FALSE)-AL22)</f>
        <v>-</v>
      </c>
      <c r="CE22" s="91" t="str">
        <f>IF(AM22="-","-",VLOOKUP($E22,CTPit!$E$10:$AW$175,CE$9,FALSE)-AM22)</f>
        <v>-</v>
      </c>
      <c r="CF22" s="91" t="str">
        <f>IF(AN22="-","-",VLOOKUP($E22,CTPit!$E$10:$AW$175,CF$9,FALSE)-AN22)</f>
        <v>-</v>
      </c>
      <c r="CG22" s="91" t="str">
        <f>IF(AO22="-","-",VLOOKUP($E22,CTPit!$E$10:$AW$175,CG$9,FALSE)-AO22)</f>
        <v>-</v>
      </c>
      <c r="CH22" s="91" t="str">
        <f>IF(AP22="-","-",VLOOKUP($E22,CTPit!$E$10:$AW$175,CH$9,FALSE)-AP22)</f>
        <v>-</v>
      </c>
      <c r="CI22" s="91" t="str">
        <f>IF(AQ22="-","-",VLOOKUP($E22,CTPit!$E$10:$AW$175,CI$9,FALSE)-AQ22)</f>
        <v>-</v>
      </c>
      <c r="CJ22" s="91" t="str">
        <f>IF(AR22="-","-",VLOOKUP($E22,CTPit!$E$10:$AW$175,CJ$9,FALSE)-AR22)</f>
        <v>-</v>
      </c>
      <c r="CK22" t="e">
        <f t="shared" si="15"/>
        <v>#N/A</v>
      </c>
    </row>
    <row r="23" spans="3:89">
      <c r="C23" t="str">
        <f t="shared" si="5"/>
        <v>K</v>
      </c>
      <c r="D23" t="s">
        <v>108</v>
      </c>
      <c r="E23" t="s">
        <v>54</v>
      </c>
      <c r="F23" t="s">
        <v>372</v>
      </c>
      <c r="G23" t="s">
        <v>209</v>
      </c>
      <c r="H23">
        <v>23</v>
      </c>
      <c r="I23" t="s">
        <v>103</v>
      </c>
      <c r="J23" s="219" t="s">
        <v>103</v>
      </c>
      <c r="K23" t="s">
        <v>42</v>
      </c>
      <c r="L23" t="s">
        <v>40</v>
      </c>
      <c r="M23" t="s">
        <v>224</v>
      </c>
      <c r="N23" s="219" t="s">
        <v>226</v>
      </c>
      <c r="O23">
        <v>10</v>
      </c>
      <c r="P23">
        <v>4</v>
      </c>
      <c r="Q23" s="219">
        <v>3</v>
      </c>
      <c r="R23">
        <v>10</v>
      </c>
      <c r="S23">
        <v>4</v>
      </c>
      <c r="T23" s="219">
        <v>4</v>
      </c>
      <c r="U23">
        <v>10</v>
      </c>
      <c r="V23">
        <v>10</v>
      </c>
      <c r="W23" t="s">
        <v>41</v>
      </c>
      <c r="X23" t="s">
        <v>41</v>
      </c>
      <c r="Y23" t="s">
        <v>41</v>
      </c>
      <c r="Z23" t="s">
        <v>41</v>
      </c>
      <c r="AA23">
        <v>10</v>
      </c>
      <c r="AB23">
        <v>10</v>
      </c>
      <c r="AC23" t="s">
        <v>41</v>
      </c>
      <c r="AD23" t="s">
        <v>41</v>
      </c>
      <c r="AE23" t="s">
        <v>41</v>
      </c>
      <c r="AF23" t="s">
        <v>41</v>
      </c>
      <c r="AG23" t="s">
        <v>41</v>
      </c>
      <c r="AH23" t="s">
        <v>41</v>
      </c>
      <c r="AI23" t="s">
        <v>41</v>
      </c>
      <c r="AJ23" t="s">
        <v>41</v>
      </c>
      <c r="AK23" t="s">
        <v>41</v>
      </c>
      <c r="AL23" t="s">
        <v>41</v>
      </c>
      <c r="AM23" t="s">
        <v>41</v>
      </c>
      <c r="AN23" t="s">
        <v>41</v>
      </c>
      <c r="AO23" t="s">
        <v>41</v>
      </c>
      <c r="AP23" t="s">
        <v>41</v>
      </c>
      <c r="AQ23" t="s">
        <v>41</v>
      </c>
      <c r="AR23" s="219" t="s">
        <v>41</v>
      </c>
      <c r="AS23" t="s">
        <v>402</v>
      </c>
      <c r="AT23">
        <v>7</v>
      </c>
      <c r="AU23" s="11">
        <v>0.38</v>
      </c>
      <c r="AV23" s="85" t="s">
        <v>41</v>
      </c>
      <c r="AW23" s="219">
        <v>0</v>
      </c>
      <c r="AX23" s="6">
        <f t="shared" si="6"/>
        <v>5.916666666666667</v>
      </c>
      <c r="AY23" s="9" t="str">
        <f t="shared" si="7"/>
        <v>Reg</v>
      </c>
      <c r="AZ23" s="9">
        <f t="shared" si="8"/>
        <v>6.25</v>
      </c>
      <c r="BA23" s="9" t="str">
        <f t="shared" si="9"/>
        <v>Reg</v>
      </c>
      <c r="BB23" s="9">
        <f t="shared" si="10"/>
        <v>6.25</v>
      </c>
      <c r="BC23" s="9" t="str">
        <f t="shared" si="11"/>
        <v>Reg</v>
      </c>
      <c r="BD23" s="84">
        <f t="shared" si="12"/>
        <v>2</v>
      </c>
      <c r="BE23" s="83">
        <f t="shared" si="13"/>
        <v>2</v>
      </c>
      <c r="BF23" t="str">
        <f t="shared" si="14"/>
        <v/>
      </c>
      <c r="BG23" s="91">
        <f>IF(O23="-","-",VLOOKUP($E23,CTPit!$E$10:$AW$175,BG$9,FALSE)-O23)</f>
        <v>0</v>
      </c>
      <c r="BH23" s="91">
        <f>IF(P23="-","-",VLOOKUP($E23,CTPit!$E$10:$AW$175,BH$9,FALSE)-P23)</f>
        <v>0</v>
      </c>
      <c r="BI23" s="91">
        <f>IF(Q23="-","-",VLOOKUP($E23,CTPit!$E$10:$AW$175,BI$9,FALSE)-Q23)</f>
        <v>0</v>
      </c>
      <c r="BJ23" s="91">
        <f>IF(R23="-","-",VLOOKUP($E23,CTPit!$E$10:$AW$175,BJ$9,FALSE)-R23)</f>
        <v>0</v>
      </c>
      <c r="BK23" s="91">
        <f>IF(S23="-","-",VLOOKUP($E23,CTPit!$E$10:$AW$175,BK$9,FALSE)-S23)</f>
        <v>0</v>
      </c>
      <c r="BL23" s="91">
        <f>IF(T23="-","-",VLOOKUP($E23,CTPit!$E$10:$AW$175,BL$9,FALSE)-T23)</f>
        <v>0</v>
      </c>
      <c r="BM23" s="91">
        <f>IF(U23="-","-",VLOOKUP($E23,CTPit!$E$10:$AW$175,BM$9,FALSE)-U23)</f>
        <v>0</v>
      </c>
      <c r="BN23" s="91">
        <f>IF(V23="-","-",VLOOKUP($E23,CTPit!$E$10:$AW$175,BN$9,FALSE)-V23)</f>
        <v>0</v>
      </c>
      <c r="BO23" s="91" t="str">
        <f>IF(W23="-","-",VLOOKUP($E23,CTPit!$E$10:$AW$175,BO$9,FALSE)-W23)</f>
        <v>-</v>
      </c>
      <c r="BP23" s="91" t="str">
        <f>IF(X23="-","-",VLOOKUP($E23,CTPit!$E$10:$AW$175,BP$9,FALSE)-X23)</f>
        <v>-</v>
      </c>
      <c r="BQ23" s="91" t="str">
        <f>IF(Y23="-","-",VLOOKUP($E23,CTPit!$E$10:$AW$175,BQ$9,FALSE)-Y23)</f>
        <v>-</v>
      </c>
      <c r="BR23" s="91" t="str">
        <f>IF(Z23="-","-",VLOOKUP($E23,CTPit!$E$10:$AW$175,BR$9,FALSE)-Z23)</f>
        <v>-</v>
      </c>
      <c r="BS23" s="91">
        <f>IF(AA23="-","-",VLOOKUP($E23,CTPit!$E$10:$AW$175,BS$9,FALSE)-AA23)</f>
        <v>0</v>
      </c>
      <c r="BT23" s="91">
        <f>IF(AB23="-","-",VLOOKUP($E23,CTPit!$E$10:$AW$175,BT$9,FALSE)-AB23)</f>
        <v>0</v>
      </c>
      <c r="BU23" s="91" t="str">
        <f>IF(AC23="-","-",VLOOKUP($E23,CTPit!$E$10:$AW$175,BU$9,FALSE)-AC23)</f>
        <v>-</v>
      </c>
      <c r="BV23" s="91" t="str">
        <f>IF(AD23="-","-",VLOOKUP($E23,CTPit!$E$10:$AW$175,BV$9,FALSE)-AD23)</f>
        <v>-</v>
      </c>
      <c r="BW23" s="91" t="str">
        <f>IF(AE23="-","-",VLOOKUP($E23,CTPit!$E$10:$AW$175,BW$9,FALSE)-AE23)</f>
        <v>-</v>
      </c>
      <c r="BX23" s="91" t="str">
        <f>IF(AF23="-","-",VLOOKUP($E23,CTPit!$E$10:$AW$175,BX$9,FALSE)-AF23)</f>
        <v>-</v>
      </c>
      <c r="BY23" s="91" t="str">
        <f>IF(AG23="-","-",VLOOKUP($E23,CTPit!$E$10:$AW$175,BY$9,FALSE)-AG23)</f>
        <v>-</v>
      </c>
      <c r="BZ23" s="91" t="str">
        <f>IF(AH23="-","-",VLOOKUP($E23,CTPit!$E$10:$AW$175,BZ$9,FALSE)-AH23)</f>
        <v>-</v>
      </c>
      <c r="CA23" s="91" t="str">
        <f>IF(AI23="-","-",VLOOKUP($E23,CTPit!$E$10:$AW$175,CA$9,FALSE)-AI23)</f>
        <v>-</v>
      </c>
      <c r="CB23" s="91" t="str">
        <f>IF(AJ23="-","-",VLOOKUP($E23,CTPit!$E$10:$AW$175,CB$9,FALSE)-AJ23)</f>
        <v>-</v>
      </c>
      <c r="CC23" s="91" t="str">
        <f>IF(AK23="-","-",VLOOKUP($E23,CTPit!$E$10:$AW$175,CC$9,FALSE)-AK23)</f>
        <v>-</v>
      </c>
      <c r="CD23" s="91" t="str">
        <f>IF(AL23="-","-",VLOOKUP($E23,CTPit!$E$10:$AW$175,CD$9,FALSE)-AL23)</f>
        <v>-</v>
      </c>
      <c r="CE23" s="91" t="str">
        <f>IF(AM23="-","-",VLOOKUP($E23,CTPit!$E$10:$AW$175,CE$9,FALSE)-AM23)</f>
        <v>-</v>
      </c>
      <c r="CF23" s="91" t="str">
        <f>IF(AN23="-","-",VLOOKUP($E23,CTPit!$E$10:$AW$175,CF$9,FALSE)-AN23)</f>
        <v>-</v>
      </c>
      <c r="CG23" s="91" t="str">
        <f>IF(AO23="-","-",VLOOKUP($E23,CTPit!$E$10:$AW$175,CG$9,FALSE)-AO23)</f>
        <v>-</v>
      </c>
      <c r="CH23" s="91" t="str">
        <f>IF(AP23="-","-",VLOOKUP($E23,CTPit!$E$10:$AW$175,CH$9,FALSE)-AP23)</f>
        <v>-</v>
      </c>
      <c r="CI23" s="91" t="str">
        <f>IF(AQ23="-","-",VLOOKUP($E23,CTPit!$E$10:$AW$175,CI$9,FALSE)-AQ23)</f>
        <v>-</v>
      </c>
      <c r="CJ23" s="91" t="str">
        <f>IF(AR23="-","-",VLOOKUP($E23,CTPit!$E$10:$AW$175,CJ$9,FALSE)-AR23)</f>
        <v>-</v>
      </c>
      <c r="CK23">
        <f t="shared" si="15"/>
        <v>0</v>
      </c>
    </row>
    <row r="24" spans="3:89">
      <c r="C24" t="str">
        <f t="shared" si="5"/>
        <v>K</v>
      </c>
      <c r="D24" t="s">
        <v>107</v>
      </c>
      <c r="E24" t="s">
        <v>472</v>
      </c>
      <c r="F24" t="s">
        <v>372</v>
      </c>
      <c r="G24" t="s">
        <v>209</v>
      </c>
      <c r="H24">
        <v>23</v>
      </c>
      <c r="I24" t="s">
        <v>103</v>
      </c>
      <c r="J24" s="219" t="s">
        <v>103</v>
      </c>
      <c r="K24" t="s">
        <v>42</v>
      </c>
      <c r="L24" t="s">
        <v>48</v>
      </c>
      <c r="M24" t="s">
        <v>224</v>
      </c>
      <c r="N24" s="219" t="s">
        <v>225</v>
      </c>
      <c r="O24">
        <v>6</v>
      </c>
      <c r="P24">
        <v>5</v>
      </c>
      <c r="Q24" s="219">
        <v>4</v>
      </c>
      <c r="R24">
        <v>7</v>
      </c>
      <c r="S24">
        <v>6</v>
      </c>
      <c r="T24" s="219">
        <v>8</v>
      </c>
      <c r="U24">
        <v>7</v>
      </c>
      <c r="V24">
        <v>7</v>
      </c>
      <c r="W24" t="s">
        <v>41</v>
      </c>
      <c r="X24" t="s">
        <v>41</v>
      </c>
      <c r="Y24">
        <v>6</v>
      </c>
      <c r="Z24">
        <v>8</v>
      </c>
      <c r="AA24" t="s">
        <v>41</v>
      </c>
      <c r="AB24" t="s">
        <v>41</v>
      </c>
      <c r="AC24" t="s">
        <v>41</v>
      </c>
      <c r="AD24" t="s">
        <v>41</v>
      </c>
      <c r="AE24" t="s">
        <v>41</v>
      </c>
      <c r="AF24" t="s">
        <v>41</v>
      </c>
      <c r="AG24" t="s">
        <v>41</v>
      </c>
      <c r="AH24" t="s">
        <v>41</v>
      </c>
      <c r="AI24" t="s">
        <v>41</v>
      </c>
      <c r="AJ24" t="s">
        <v>41</v>
      </c>
      <c r="AK24" t="s">
        <v>41</v>
      </c>
      <c r="AL24" t="s">
        <v>41</v>
      </c>
      <c r="AM24" t="s">
        <v>41</v>
      </c>
      <c r="AN24" t="s">
        <v>41</v>
      </c>
      <c r="AO24" t="s">
        <v>41</v>
      </c>
      <c r="AP24" t="s">
        <v>41</v>
      </c>
      <c r="AQ24" t="s">
        <v>41</v>
      </c>
      <c r="AR24" s="219" t="s">
        <v>41</v>
      </c>
      <c r="AS24" t="s">
        <v>15</v>
      </c>
      <c r="AT24">
        <v>1</v>
      </c>
      <c r="AU24" s="11">
        <v>0.52</v>
      </c>
      <c r="AV24" s="85" t="s">
        <v>41</v>
      </c>
      <c r="AW24" s="219">
        <v>0</v>
      </c>
      <c r="AX24" s="6">
        <f t="shared" si="6"/>
        <v>5.25</v>
      </c>
      <c r="AY24" s="9" t="str">
        <f t="shared" si="7"/>
        <v>Reg</v>
      </c>
      <c r="AZ24" s="9">
        <f t="shared" si="8"/>
        <v>7.25</v>
      </c>
      <c r="BA24" s="9" t="str">
        <f t="shared" si="9"/>
        <v>GoodReg</v>
      </c>
      <c r="BB24" s="9">
        <f t="shared" si="10"/>
        <v>7.25</v>
      </c>
      <c r="BC24" s="9" t="str">
        <f t="shared" si="11"/>
        <v>GoodReg</v>
      </c>
      <c r="BD24" s="84">
        <f t="shared" si="12"/>
        <v>2</v>
      </c>
      <c r="BE24" s="83">
        <f t="shared" si="13"/>
        <v>2</v>
      </c>
      <c r="BF24" t="str">
        <f t="shared" si="14"/>
        <v/>
      </c>
      <c r="BG24" s="91">
        <f>IF(O24="-","-",VLOOKUP($E24,CTPit!$E$10:$AW$175,BG$9,FALSE)-O24)</f>
        <v>0</v>
      </c>
      <c r="BH24" s="91">
        <f>IF(P24="-","-",VLOOKUP($E24,CTPit!$E$10:$AW$175,BH$9,FALSE)-P24)</f>
        <v>1</v>
      </c>
      <c r="BI24" s="91">
        <f>IF(Q24="-","-",VLOOKUP($E24,CTPit!$E$10:$AW$175,BI$9,FALSE)-Q24)</f>
        <v>1</v>
      </c>
      <c r="BJ24" s="91">
        <f>IF(R24="-","-",VLOOKUP($E24,CTPit!$E$10:$AW$175,BJ$9,FALSE)-R24)</f>
        <v>-1</v>
      </c>
      <c r="BK24" s="91">
        <f>IF(S24="-","-",VLOOKUP($E24,CTPit!$E$10:$AW$175,BK$9,FALSE)-S24)</f>
        <v>0</v>
      </c>
      <c r="BL24" s="91">
        <f>IF(T24="-","-",VLOOKUP($E24,CTPit!$E$10:$AW$175,BL$9,FALSE)-T24)</f>
        <v>-1</v>
      </c>
      <c r="BM24" s="91">
        <f>IF(U24="-","-",VLOOKUP($E24,CTPit!$E$10:$AW$175,BM$9,FALSE)-U24)</f>
        <v>0</v>
      </c>
      <c r="BN24" s="91">
        <f>IF(V24="-","-",VLOOKUP($E24,CTPit!$E$10:$AW$175,BN$9,FALSE)-V24)</f>
        <v>0</v>
      </c>
      <c r="BO24" s="91" t="str">
        <f>IF(W24="-","-",VLOOKUP($E24,CTPit!$E$10:$AW$175,BO$9,FALSE)-W24)</f>
        <v>-</v>
      </c>
      <c r="BP24" s="91" t="str">
        <f>IF(X24="-","-",VLOOKUP($E24,CTPit!$E$10:$AW$175,BP$9,FALSE)-X24)</f>
        <v>-</v>
      </c>
      <c r="BQ24" s="91">
        <f>IF(Y24="-","-",VLOOKUP($E24,CTPit!$E$10:$AW$175,BQ$9,FALSE)-Y24)</f>
        <v>0</v>
      </c>
      <c r="BR24" s="91">
        <f>IF(Z24="-","-",VLOOKUP($E24,CTPit!$E$10:$AW$175,BR$9,FALSE)-Z24)</f>
        <v>0</v>
      </c>
      <c r="BS24" s="91" t="str">
        <f>IF(AA24="-","-",VLOOKUP($E24,CTPit!$E$10:$AW$175,BS$9,FALSE)-AA24)</f>
        <v>-</v>
      </c>
      <c r="BT24" s="91" t="str">
        <f>IF(AB24="-","-",VLOOKUP($E24,CTPit!$E$10:$AW$175,BT$9,FALSE)-AB24)</f>
        <v>-</v>
      </c>
      <c r="BU24" s="91" t="str">
        <f>IF(AC24="-","-",VLOOKUP($E24,CTPit!$E$10:$AW$175,BU$9,FALSE)-AC24)</f>
        <v>-</v>
      </c>
      <c r="BV24" s="91" t="str">
        <f>IF(AD24="-","-",VLOOKUP($E24,CTPit!$E$10:$AW$175,BV$9,FALSE)-AD24)</f>
        <v>-</v>
      </c>
      <c r="BW24" s="91" t="str">
        <f>IF(AE24="-","-",VLOOKUP($E24,CTPit!$E$10:$AW$175,BW$9,FALSE)-AE24)</f>
        <v>-</v>
      </c>
      <c r="BX24" s="91" t="str">
        <f>IF(AF24="-","-",VLOOKUP($E24,CTPit!$E$10:$AW$175,BX$9,FALSE)-AF24)</f>
        <v>-</v>
      </c>
      <c r="BY24" s="91" t="str">
        <f>IF(AG24="-","-",VLOOKUP($E24,CTPit!$E$10:$AW$175,BY$9,FALSE)-AG24)</f>
        <v>-</v>
      </c>
      <c r="BZ24" s="91" t="str">
        <f>IF(AH24="-","-",VLOOKUP($E24,CTPit!$E$10:$AW$175,BZ$9,FALSE)-AH24)</f>
        <v>-</v>
      </c>
      <c r="CA24" s="91" t="str">
        <f>IF(AI24="-","-",VLOOKUP($E24,CTPit!$E$10:$AW$175,CA$9,FALSE)-AI24)</f>
        <v>-</v>
      </c>
      <c r="CB24" s="91" t="str">
        <f>IF(AJ24="-","-",VLOOKUP($E24,CTPit!$E$10:$AW$175,CB$9,FALSE)-AJ24)</f>
        <v>-</v>
      </c>
      <c r="CC24" s="91" t="str">
        <f>IF(AK24="-","-",VLOOKUP($E24,CTPit!$E$10:$AW$175,CC$9,FALSE)-AK24)</f>
        <v>-</v>
      </c>
      <c r="CD24" s="91" t="str">
        <f>IF(AL24="-","-",VLOOKUP($E24,CTPit!$E$10:$AW$175,CD$9,FALSE)-AL24)</f>
        <v>-</v>
      </c>
      <c r="CE24" s="91" t="str">
        <f>IF(AM24="-","-",VLOOKUP($E24,CTPit!$E$10:$AW$175,CE$9,FALSE)-AM24)</f>
        <v>-</v>
      </c>
      <c r="CF24" s="91" t="str">
        <f>IF(AN24="-","-",VLOOKUP($E24,CTPit!$E$10:$AW$175,CF$9,FALSE)-AN24)</f>
        <v>-</v>
      </c>
      <c r="CG24" s="91" t="str">
        <f>IF(AO24="-","-",VLOOKUP($E24,CTPit!$E$10:$AW$175,CG$9,FALSE)-AO24)</f>
        <v>-</v>
      </c>
      <c r="CH24" s="91" t="str">
        <f>IF(AP24="-","-",VLOOKUP($E24,CTPit!$E$10:$AW$175,CH$9,FALSE)-AP24)</f>
        <v>-</v>
      </c>
      <c r="CI24" s="91" t="str">
        <f>IF(AQ24="-","-",VLOOKUP($E24,CTPit!$E$10:$AW$175,CI$9,FALSE)-AQ24)</f>
        <v>-</v>
      </c>
      <c r="CJ24" s="91" t="str">
        <f>IF(AR24="-","-",VLOOKUP($E24,CTPit!$E$10:$AW$175,CJ$9,FALSE)-AR24)</f>
        <v>-</v>
      </c>
      <c r="CK24">
        <f t="shared" si="15"/>
        <v>0</v>
      </c>
    </row>
    <row r="25" spans="3:89">
      <c r="C25" t="str">
        <f t="shared" si="5"/>
        <v>K</v>
      </c>
      <c r="D25" t="s">
        <v>108</v>
      </c>
      <c r="E25" t="s">
        <v>528</v>
      </c>
      <c r="F25" t="s">
        <v>370</v>
      </c>
      <c r="G25" t="s">
        <v>316</v>
      </c>
      <c r="H25">
        <v>22</v>
      </c>
      <c r="I25" t="s">
        <v>104</v>
      </c>
      <c r="J25" s="219" t="s">
        <v>104</v>
      </c>
      <c r="K25" t="s">
        <v>42</v>
      </c>
      <c r="L25" t="s">
        <v>48</v>
      </c>
      <c r="M25" t="s">
        <v>225</v>
      </c>
      <c r="N25" s="219" t="s">
        <v>226</v>
      </c>
      <c r="O25">
        <v>7</v>
      </c>
      <c r="P25">
        <v>5</v>
      </c>
      <c r="Q25" s="219">
        <v>3</v>
      </c>
      <c r="R25">
        <v>8</v>
      </c>
      <c r="S25">
        <v>6</v>
      </c>
      <c r="T25" s="219">
        <v>5</v>
      </c>
      <c r="U25">
        <v>8</v>
      </c>
      <c r="V25">
        <v>8</v>
      </c>
      <c r="W25">
        <v>7</v>
      </c>
      <c r="X25">
        <v>7</v>
      </c>
      <c r="Y25">
        <v>5</v>
      </c>
      <c r="Z25">
        <v>7</v>
      </c>
      <c r="AA25" t="s">
        <v>41</v>
      </c>
      <c r="AB25" t="s">
        <v>41</v>
      </c>
      <c r="AC25" t="s">
        <v>41</v>
      </c>
      <c r="AD25" t="s">
        <v>41</v>
      </c>
      <c r="AE25" t="s">
        <v>41</v>
      </c>
      <c r="AF25" t="s">
        <v>41</v>
      </c>
      <c r="AG25" t="s">
        <v>41</v>
      </c>
      <c r="AH25" t="s">
        <v>41</v>
      </c>
      <c r="AI25">
        <v>7</v>
      </c>
      <c r="AJ25">
        <v>8</v>
      </c>
      <c r="AK25" t="s">
        <v>41</v>
      </c>
      <c r="AL25" t="s">
        <v>41</v>
      </c>
      <c r="AM25" t="s">
        <v>41</v>
      </c>
      <c r="AN25" t="s">
        <v>41</v>
      </c>
      <c r="AO25" t="s">
        <v>41</v>
      </c>
      <c r="AP25" t="s">
        <v>41</v>
      </c>
      <c r="AQ25" t="s">
        <v>41</v>
      </c>
      <c r="AR25" s="219" t="s">
        <v>41</v>
      </c>
      <c r="AS25" t="s">
        <v>434</v>
      </c>
      <c r="AT25">
        <v>9</v>
      </c>
      <c r="AU25" s="11">
        <v>0.56000000000000005</v>
      </c>
      <c r="AV25" s="85" t="s">
        <v>41</v>
      </c>
      <c r="AW25" s="219">
        <v>0</v>
      </c>
      <c r="AX25" s="6">
        <f t="shared" si="6"/>
        <v>5.75</v>
      </c>
      <c r="AY25" s="9" t="str">
        <f t="shared" si="7"/>
        <v>Reg</v>
      </c>
      <c r="AZ25" s="9">
        <f t="shared" si="8"/>
        <v>7.083333333333333</v>
      </c>
      <c r="BA25" s="9" t="str">
        <f t="shared" si="9"/>
        <v>GoodReg</v>
      </c>
      <c r="BB25" s="9">
        <f t="shared" si="10"/>
        <v>7.083333333333333</v>
      </c>
      <c r="BC25" s="9" t="str">
        <f t="shared" si="11"/>
        <v>GoodReg</v>
      </c>
      <c r="BD25" s="84">
        <f t="shared" si="12"/>
        <v>4</v>
      </c>
      <c r="BE25" s="83">
        <f t="shared" si="13"/>
        <v>3.5</v>
      </c>
      <c r="BF25" t="str">
        <f t="shared" si="14"/>
        <v/>
      </c>
      <c r="BG25" s="91">
        <f>IF(O25="-","-",VLOOKUP($E25,CTPit!$E$10:$AW$175,BG$9,FALSE)-O25)</f>
        <v>1</v>
      </c>
      <c r="BH25" s="91">
        <f>IF(P25="-","-",VLOOKUP($E25,CTPit!$E$10:$AW$175,BH$9,FALSE)-P25)</f>
        <v>0</v>
      </c>
      <c r="BI25" s="91">
        <f>IF(Q25="-","-",VLOOKUP($E25,CTPit!$E$10:$AW$175,BI$9,FALSE)-Q25)</f>
        <v>0</v>
      </c>
      <c r="BJ25" s="91">
        <f>IF(R25="-","-",VLOOKUP($E25,CTPit!$E$10:$AW$175,BJ$9,FALSE)-R25)</f>
        <v>0</v>
      </c>
      <c r="BK25" s="91">
        <f>IF(S25="-","-",VLOOKUP($E25,CTPit!$E$10:$AW$175,BK$9,FALSE)-S25)</f>
        <v>0</v>
      </c>
      <c r="BL25" s="91">
        <f>IF(T25="-","-",VLOOKUP($E25,CTPit!$E$10:$AW$175,BL$9,FALSE)-T25)</f>
        <v>0</v>
      </c>
      <c r="BM25" s="91">
        <f>IF(U25="-","-",VLOOKUP($E25,CTPit!$E$10:$AW$175,BM$9,FALSE)-U25)</f>
        <v>0</v>
      </c>
      <c r="BN25" s="91">
        <f>IF(V25="-","-",VLOOKUP($E25,CTPit!$E$10:$AW$175,BN$9,FALSE)-V25)</f>
        <v>0</v>
      </c>
      <c r="BO25" s="91">
        <f>IF(W25="-","-",VLOOKUP($E25,CTPit!$E$10:$AW$175,BO$9,FALSE)-W25)</f>
        <v>0</v>
      </c>
      <c r="BP25" s="91">
        <f>IF(X25="-","-",VLOOKUP($E25,CTPit!$E$10:$AW$175,BP$9,FALSE)-X25)</f>
        <v>0</v>
      </c>
      <c r="BQ25" s="91">
        <f>IF(Y25="-","-",VLOOKUP($E25,CTPit!$E$10:$AW$175,BQ$9,FALSE)-Y25)</f>
        <v>0</v>
      </c>
      <c r="BR25" s="91">
        <f>IF(Z25="-","-",VLOOKUP($E25,CTPit!$E$10:$AW$175,BR$9,FALSE)-Z25)</f>
        <v>-1</v>
      </c>
      <c r="BS25" s="91" t="str">
        <f>IF(AA25="-","-",VLOOKUP($E25,CTPit!$E$10:$AW$175,BS$9,FALSE)-AA25)</f>
        <v>-</v>
      </c>
      <c r="BT25" s="91" t="str">
        <f>IF(AB25="-","-",VLOOKUP($E25,CTPit!$E$10:$AW$175,BT$9,FALSE)-AB25)</f>
        <v>-</v>
      </c>
      <c r="BU25" s="91" t="str">
        <f>IF(AC25="-","-",VLOOKUP($E25,CTPit!$E$10:$AW$175,BU$9,FALSE)-AC25)</f>
        <v>-</v>
      </c>
      <c r="BV25" s="91" t="str">
        <f>IF(AD25="-","-",VLOOKUP($E25,CTPit!$E$10:$AW$175,BV$9,FALSE)-AD25)</f>
        <v>-</v>
      </c>
      <c r="BW25" s="91" t="str">
        <f>IF(AE25="-","-",VLOOKUP($E25,CTPit!$E$10:$AW$175,BW$9,FALSE)-AE25)</f>
        <v>-</v>
      </c>
      <c r="BX25" s="91" t="str">
        <f>IF(AF25="-","-",VLOOKUP($E25,CTPit!$E$10:$AW$175,BX$9,FALSE)-AF25)</f>
        <v>-</v>
      </c>
      <c r="BY25" s="91" t="str">
        <f>IF(AG25="-","-",VLOOKUP($E25,CTPit!$E$10:$AW$175,BY$9,FALSE)-AG25)</f>
        <v>-</v>
      </c>
      <c r="BZ25" s="91" t="str">
        <f>IF(AH25="-","-",VLOOKUP($E25,CTPit!$E$10:$AW$175,BZ$9,FALSE)-AH25)</f>
        <v>-</v>
      </c>
      <c r="CA25" s="91">
        <f>IF(AI25="-","-",VLOOKUP($E25,CTPit!$E$10:$AW$175,CA$9,FALSE)-AI25)</f>
        <v>1</v>
      </c>
      <c r="CB25" s="91">
        <f>IF(AJ25="-","-",VLOOKUP($E25,CTPit!$E$10:$AW$175,CB$9,FALSE)-AJ25)</f>
        <v>0</v>
      </c>
      <c r="CC25" s="91" t="str">
        <f>IF(AK25="-","-",VLOOKUP($E25,CTPit!$E$10:$AW$175,CC$9,FALSE)-AK25)</f>
        <v>-</v>
      </c>
      <c r="CD25" s="91" t="str">
        <f>IF(AL25="-","-",VLOOKUP($E25,CTPit!$E$10:$AW$175,CD$9,FALSE)-AL25)</f>
        <v>-</v>
      </c>
      <c r="CE25" s="91" t="str">
        <f>IF(AM25="-","-",VLOOKUP($E25,CTPit!$E$10:$AW$175,CE$9,FALSE)-AM25)</f>
        <v>-</v>
      </c>
      <c r="CF25" s="91" t="str">
        <f>IF(AN25="-","-",VLOOKUP($E25,CTPit!$E$10:$AW$175,CF$9,FALSE)-AN25)</f>
        <v>-</v>
      </c>
      <c r="CG25" s="91" t="str">
        <f>IF(AO25="-","-",VLOOKUP($E25,CTPit!$E$10:$AW$175,CG$9,FALSE)-AO25)</f>
        <v>-</v>
      </c>
      <c r="CH25" s="91" t="str">
        <f>IF(AP25="-","-",VLOOKUP($E25,CTPit!$E$10:$AW$175,CH$9,FALSE)-AP25)</f>
        <v>-</v>
      </c>
      <c r="CI25" s="91" t="str">
        <f>IF(AQ25="-","-",VLOOKUP($E25,CTPit!$E$10:$AW$175,CI$9,FALSE)-AQ25)</f>
        <v>-</v>
      </c>
      <c r="CJ25" s="91" t="str">
        <f>IF(AR25="-","-",VLOOKUP($E25,CTPit!$E$10:$AW$175,CJ$9,FALSE)-AR25)</f>
        <v>-</v>
      </c>
      <c r="CK25">
        <f t="shared" si="15"/>
        <v>1</v>
      </c>
    </row>
    <row r="26" spans="3:89">
      <c r="C26" t="str">
        <f t="shared" si="5"/>
        <v>K</v>
      </c>
      <c r="D26" t="s">
        <v>109</v>
      </c>
      <c r="E26" t="s">
        <v>473</v>
      </c>
      <c r="F26" t="s">
        <v>373</v>
      </c>
      <c r="G26" t="s">
        <v>210</v>
      </c>
      <c r="H26">
        <v>22</v>
      </c>
      <c r="I26" t="s">
        <v>104</v>
      </c>
      <c r="J26" s="219" t="s">
        <v>104</v>
      </c>
      <c r="K26" t="s">
        <v>42</v>
      </c>
      <c r="L26" t="s">
        <v>48</v>
      </c>
      <c r="M26" t="s">
        <v>224</v>
      </c>
      <c r="N26" s="219" t="s">
        <v>227</v>
      </c>
      <c r="O26">
        <v>9</v>
      </c>
      <c r="P26">
        <v>4</v>
      </c>
      <c r="Q26" s="219">
        <v>3</v>
      </c>
      <c r="R26">
        <v>10</v>
      </c>
      <c r="S26">
        <v>4</v>
      </c>
      <c r="T26" s="219">
        <v>5</v>
      </c>
      <c r="U26">
        <v>10</v>
      </c>
      <c r="V26">
        <v>10</v>
      </c>
      <c r="W26" t="s">
        <v>41</v>
      </c>
      <c r="X26" t="s">
        <v>41</v>
      </c>
      <c r="Y26">
        <v>5</v>
      </c>
      <c r="Z26">
        <v>8</v>
      </c>
      <c r="AA26" t="s">
        <v>41</v>
      </c>
      <c r="AB26" t="s">
        <v>41</v>
      </c>
      <c r="AC26" t="s">
        <v>41</v>
      </c>
      <c r="AD26" t="s">
        <v>41</v>
      </c>
      <c r="AE26" t="s">
        <v>41</v>
      </c>
      <c r="AF26" t="s">
        <v>41</v>
      </c>
      <c r="AG26" t="s">
        <v>41</v>
      </c>
      <c r="AH26" t="s">
        <v>41</v>
      </c>
      <c r="AI26" t="s">
        <v>41</v>
      </c>
      <c r="AJ26" t="s">
        <v>41</v>
      </c>
      <c r="AK26" t="s">
        <v>41</v>
      </c>
      <c r="AL26" t="s">
        <v>41</v>
      </c>
      <c r="AM26" t="s">
        <v>41</v>
      </c>
      <c r="AN26" t="s">
        <v>41</v>
      </c>
      <c r="AO26" t="s">
        <v>41</v>
      </c>
      <c r="AP26" t="s">
        <v>41</v>
      </c>
      <c r="AQ26" t="s">
        <v>41</v>
      </c>
      <c r="AR26" s="219" t="s">
        <v>41</v>
      </c>
      <c r="AS26" t="s">
        <v>402</v>
      </c>
      <c r="AT26">
        <v>2</v>
      </c>
      <c r="AU26" s="11">
        <v>0.41</v>
      </c>
      <c r="AV26" s="85" t="s">
        <v>41</v>
      </c>
      <c r="AW26" s="219">
        <v>0</v>
      </c>
      <c r="AX26" s="6">
        <f t="shared" si="6"/>
        <v>5.583333333333333</v>
      </c>
      <c r="AY26" s="9" t="str">
        <f t="shared" si="7"/>
        <v>Reg</v>
      </c>
      <c r="AZ26" s="9">
        <f t="shared" si="8"/>
        <v>6.583333333333333</v>
      </c>
      <c r="BA26" s="9" t="str">
        <f t="shared" si="9"/>
        <v>GoodReg</v>
      </c>
      <c r="BB26" s="9">
        <f t="shared" si="10"/>
        <v>6.583333333333333</v>
      </c>
      <c r="BC26" s="9" t="str">
        <f t="shared" si="11"/>
        <v>GoodReg</v>
      </c>
      <c r="BD26" s="84">
        <f t="shared" si="12"/>
        <v>2</v>
      </c>
      <c r="BE26" s="83">
        <f t="shared" si="13"/>
        <v>1.5</v>
      </c>
      <c r="BF26" t="str">
        <f t="shared" si="14"/>
        <v/>
      </c>
      <c r="BG26" s="91">
        <f>IF(O26="-","-",VLOOKUP($E26,CTPit!$E$10:$AW$175,BG$9,FALSE)-O26)</f>
        <v>1</v>
      </c>
      <c r="BH26" s="91">
        <f>IF(P26="-","-",VLOOKUP($E26,CTPit!$E$10:$AW$175,BH$9,FALSE)-P26)</f>
        <v>0</v>
      </c>
      <c r="BI26" s="91">
        <f>IF(Q26="-","-",VLOOKUP($E26,CTPit!$E$10:$AW$175,BI$9,FALSE)-Q26)</f>
        <v>0</v>
      </c>
      <c r="BJ26" s="91">
        <f>IF(R26="-","-",VLOOKUP($E26,CTPit!$E$10:$AW$175,BJ$9,FALSE)-R26)</f>
        <v>0</v>
      </c>
      <c r="BK26" s="91">
        <f>IF(S26="-","-",VLOOKUP($E26,CTPit!$E$10:$AW$175,BK$9,FALSE)-S26)</f>
        <v>0</v>
      </c>
      <c r="BL26" s="91">
        <f>IF(T26="-","-",VLOOKUP($E26,CTPit!$E$10:$AW$175,BL$9,FALSE)-T26)</f>
        <v>-1</v>
      </c>
      <c r="BM26" s="91">
        <f>IF(U26="-","-",VLOOKUP($E26,CTPit!$E$10:$AW$175,BM$9,FALSE)-U26)</f>
        <v>0</v>
      </c>
      <c r="BN26" s="91">
        <f>IF(V26="-","-",VLOOKUP($E26,CTPit!$E$10:$AW$175,BN$9,FALSE)-V26)</f>
        <v>0</v>
      </c>
      <c r="BO26" s="91" t="str">
        <f>IF(W26="-","-",VLOOKUP($E26,CTPit!$E$10:$AW$175,BO$9,FALSE)-W26)</f>
        <v>-</v>
      </c>
      <c r="BP26" s="91" t="str">
        <f>IF(X26="-","-",VLOOKUP($E26,CTPit!$E$10:$AW$175,BP$9,FALSE)-X26)</f>
        <v>-</v>
      </c>
      <c r="BQ26" s="91">
        <f>IF(Y26="-","-",VLOOKUP($E26,CTPit!$E$10:$AW$175,BQ$9,FALSE)-Y26)</f>
        <v>1</v>
      </c>
      <c r="BR26" s="91">
        <f>IF(Z26="-","-",VLOOKUP($E26,CTPit!$E$10:$AW$175,BR$9,FALSE)-Z26)</f>
        <v>-1</v>
      </c>
      <c r="BS26" s="91" t="str">
        <f>IF(AA26="-","-",VLOOKUP($E26,CTPit!$E$10:$AW$175,BS$9,FALSE)-AA26)</f>
        <v>-</v>
      </c>
      <c r="BT26" s="91" t="str">
        <f>IF(AB26="-","-",VLOOKUP($E26,CTPit!$E$10:$AW$175,BT$9,FALSE)-AB26)</f>
        <v>-</v>
      </c>
      <c r="BU26" s="91" t="str">
        <f>IF(AC26="-","-",VLOOKUP($E26,CTPit!$E$10:$AW$175,BU$9,FALSE)-AC26)</f>
        <v>-</v>
      </c>
      <c r="BV26" s="91" t="str">
        <f>IF(AD26="-","-",VLOOKUP($E26,CTPit!$E$10:$AW$175,BV$9,FALSE)-AD26)</f>
        <v>-</v>
      </c>
      <c r="BW26" s="91" t="str">
        <f>IF(AE26="-","-",VLOOKUP($E26,CTPit!$E$10:$AW$175,BW$9,FALSE)-AE26)</f>
        <v>-</v>
      </c>
      <c r="BX26" s="91" t="str">
        <f>IF(AF26="-","-",VLOOKUP($E26,CTPit!$E$10:$AW$175,BX$9,FALSE)-AF26)</f>
        <v>-</v>
      </c>
      <c r="BY26" s="91" t="str">
        <f>IF(AG26="-","-",VLOOKUP($E26,CTPit!$E$10:$AW$175,BY$9,FALSE)-AG26)</f>
        <v>-</v>
      </c>
      <c r="BZ26" s="91" t="str">
        <f>IF(AH26="-","-",VLOOKUP($E26,CTPit!$E$10:$AW$175,BZ$9,FALSE)-AH26)</f>
        <v>-</v>
      </c>
      <c r="CA26" s="91" t="str">
        <f>IF(AI26="-","-",VLOOKUP($E26,CTPit!$E$10:$AW$175,CA$9,FALSE)-AI26)</f>
        <v>-</v>
      </c>
      <c r="CB26" s="91" t="str">
        <f>IF(AJ26="-","-",VLOOKUP($E26,CTPit!$E$10:$AW$175,CB$9,FALSE)-AJ26)</f>
        <v>-</v>
      </c>
      <c r="CC26" s="91" t="str">
        <f>IF(AK26="-","-",VLOOKUP($E26,CTPit!$E$10:$AW$175,CC$9,FALSE)-AK26)</f>
        <v>-</v>
      </c>
      <c r="CD26" s="91" t="str">
        <f>IF(AL26="-","-",VLOOKUP($E26,CTPit!$E$10:$AW$175,CD$9,FALSE)-AL26)</f>
        <v>-</v>
      </c>
      <c r="CE26" s="91" t="str">
        <f>IF(AM26="-","-",VLOOKUP($E26,CTPit!$E$10:$AW$175,CE$9,FALSE)-AM26)</f>
        <v>-</v>
      </c>
      <c r="CF26" s="91" t="str">
        <f>IF(AN26="-","-",VLOOKUP($E26,CTPit!$E$10:$AW$175,CF$9,FALSE)-AN26)</f>
        <v>-</v>
      </c>
      <c r="CG26" s="91" t="str">
        <f>IF(AO26="-","-",VLOOKUP($E26,CTPit!$E$10:$AW$175,CG$9,FALSE)-AO26)</f>
        <v>-</v>
      </c>
      <c r="CH26" s="91" t="str">
        <f>IF(AP26="-","-",VLOOKUP($E26,CTPit!$E$10:$AW$175,CH$9,FALSE)-AP26)</f>
        <v>-</v>
      </c>
      <c r="CI26" s="91" t="str">
        <f>IF(AQ26="-","-",VLOOKUP($E26,CTPit!$E$10:$AW$175,CI$9,FALSE)-AQ26)</f>
        <v>-</v>
      </c>
      <c r="CJ26" s="91" t="str">
        <f>IF(AR26="-","-",VLOOKUP($E26,CTPit!$E$10:$AW$175,CJ$9,FALSE)-AR26)</f>
        <v>-</v>
      </c>
      <c r="CK26">
        <f t="shared" si="15"/>
        <v>0</v>
      </c>
    </row>
    <row r="27" spans="3:89">
      <c r="C27" t="str">
        <f t="shared" si="5"/>
        <v>K</v>
      </c>
      <c r="D27" t="s">
        <v>107</v>
      </c>
      <c r="E27" t="s">
        <v>436</v>
      </c>
      <c r="F27" t="s">
        <v>373</v>
      </c>
      <c r="G27" t="s">
        <v>210</v>
      </c>
      <c r="H27">
        <v>23</v>
      </c>
      <c r="I27" t="s">
        <v>104</v>
      </c>
      <c r="J27" s="219" t="s">
        <v>104</v>
      </c>
      <c r="K27" t="s">
        <v>47</v>
      </c>
      <c r="L27" t="s">
        <v>42</v>
      </c>
      <c r="M27" t="s">
        <v>223</v>
      </c>
      <c r="N27" s="219" t="s">
        <v>225</v>
      </c>
      <c r="O27">
        <v>5</v>
      </c>
      <c r="P27">
        <v>7</v>
      </c>
      <c r="Q27" s="219">
        <v>2</v>
      </c>
      <c r="R27">
        <v>5</v>
      </c>
      <c r="S27">
        <v>7</v>
      </c>
      <c r="T27" s="219">
        <v>4</v>
      </c>
      <c r="U27">
        <v>7</v>
      </c>
      <c r="V27">
        <v>7</v>
      </c>
      <c r="W27">
        <v>2</v>
      </c>
      <c r="X27">
        <v>4</v>
      </c>
      <c r="Y27" t="s">
        <v>41</v>
      </c>
      <c r="Z27" t="s">
        <v>41</v>
      </c>
      <c r="AA27" t="s">
        <v>41</v>
      </c>
      <c r="AB27" t="s">
        <v>41</v>
      </c>
      <c r="AC27" t="s">
        <v>41</v>
      </c>
      <c r="AD27" t="s">
        <v>41</v>
      </c>
      <c r="AE27" t="s">
        <v>41</v>
      </c>
      <c r="AF27" t="s">
        <v>41</v>
      </c>
      <c r="AG27" t="s">
        <v>41</v>
      </c>
      <c r="AH27" t="s">
        <v>41</v>
      </c>
      <c r="AI27" t="s">
        <v>41</v>
      </c>
      <c r="AJ27" t="s">
        <v>41</v>
      </c>
      <c r="AK27" t="s">
        <v>41</v>
      </c>
      <c r="AL27" t="s">
        <v>41</v>
      </c>
      <c r="AM27" t="s">
        <v>41</v>
      </c>
      <c r="AN27" t="s">
        <v>41</v>
      </c>
      <c r="AO27" t="s">
        <v>41</v>
      </c>
      <c r="AP27" t="s">
        <v>41</v>
      </c>
      <c r="AQ27" t="s">
        <v>41</v>
      </c>
      <c r="AR27" s="219" t="s">
        <v>41</v>
      </c>
      <c r="AS27" t="s">
        <v>242</v>
      </c>
      <c r="AT27">
        <v>1</v>
      </c>
      <c r="AU27" s="11">
        <v>0.63</v>
      </c>
      <c r="AV27" s="85" t="s">
        <v>41</v>
      </c>
      <c r="AW27" s="219" t="s">
        <v>45</v>
      </c>
      <c r="AX27" s="6">
        <f t="shared" si="6"/>
        <v>5.166666666666667</v>
      </c>
      <c r="AY27" s="9" t="str">
        <f t="shared" si="7"/>
        <v>Reg</v>
      </c>
      <c r="AZ27" s="9">
        <f t="shared" si="8"/>
        <v>5.833333333333333</v>
      </c>
      <c r="BA27" s="9" t="str">
        <f t="shared" si="9"/>
        <v>Reg</v>
      </c>
      <c r="BB27" s="9">
        <f t="shared" si="10"/>
        <v>5.833333333333333</v>
      </c>
      <c r="BC27" s="9" t="str">
        <f t="shared" si="11"/>
        <v>Reg</v>
      </c>
      <c r="BD27" s="84">
        <f t="shared" si="12"/>
        <v>2</v>
      </c>
      <c r="BE27" s="83">
        <f t="shared" si="13"/>
        <v>1</v>
      </c>
      <c r="BF27" t="str">
        <f t="shared" si="14"/>
        <v/>
      </c>
      <c r="BG27" s="91">
        <f>IF(O27="-","-",VLOOKUP($E27,CTPit!$E$10:$AW$175,BG$9,FALSE)-O27)</f>
        <v>0</v>
      </c>
      <c r="BH27" s="91">
        <f>IF(P27="-","-",VLOOKUP($E27,CTPit!$E$10:$AW$175,BH$9,FALSE)-P27)</f>
        <v>0</v>
      </c>
      <c r="BI27" s="91">
        <f>IF(Q27="-","-",VLOOKUP($E27,CTPit!$E$10:$AW$175,BI$9,FALSE)-Q27)</f>
        <v>1</v>
      </c>
      <c r="BJ27" s="91">
        <f>IF(R27="-","-",VLOOKUP($E27,CTPit!$E$10:$AW$175,BJ$9,FALSE)-R27)</f>
        <v>0</v>
      </c>
      <c r="BK27" s="91">
        <f>IF(S27="-","-",VLOOKUP($E27,CTPit!$E$10:$AW$175,BK$9,FALSE)-S27)</f>
        <v>0</v>
      </c>
      <c r="BL27" s="91">
        <f>IF(T27="-","-",VLOOKUP($E27,CTPit!$E$10:$AW$175,BL$9,FALSE)-T27)</f>
        <v>0</v>
      </c>
      <c r="BM27" s="91">
        <f>IF(U27="-","-",VLOOKUP($E27,CTPit!$E$10:$AW$175,BM$9,FALSE)-U27)</f>
        <v>0</v>
      </c>
      <c r="BN27" s="91">
        <f>IF(V27="-","-",VLOOKUP($E27,CTPit!$E$10:$AW$175,BN$9,FALSE)-V27)</f>
        <v>0</v>
      </c>
      <c r="BO27" s="91">
        <f>IF(W27="-","-",VLOOKUP($E27,CTPit!$E$10:$AW$175,BO$9,FALSE)-W27)</f>
        <v>1</v>
      </c>
      <c r="BP27" s="91">
        <f>IF(X27="-","-",VLOOKUP($E27,CTPit!$E$10:$AW$175,BP$9,FALSE)-X27)</f>
        <v>0</v>
      </c>
      <c r="BQ27" s="91" t="str">
        <f>IF(Y27="-","-",VLOOKUP($E27,CTPit!$E$10:$AW$175,BQ$9,FALSE)-Y27)</f>
        <v>-</v>
      </c>
      <c r="BR27" s="91" t="str">
        <f>IF(Z27="-","-",VLOOKUP($E27,CTPit!$E$10:$AW$175,BR$9,FALSE)-Z27)</f>
        <v>-</v>
      </c>
      <c r="BS27" s="91" t="str">
        <f>IF(AA27="-","-",VLOOKUP($E27,CTPit!$E$10:$AW$175,BS$9,FALSE)-AA27)</f>
        <v>-</v>
      </c>
      <c r="BT27" s="91" t="str">
        <f>IF(AB27="-","-",VLOOKUP($E27,CTPit!$E$10:$AW$175,BT$9,FALSE)-AB27)</f>
        <v>-</v>
      </c>
      <c r="BU27" s="91" t="str">
        <f>IF(AC27="-","-",VLOOKUP($E27,CTPit!$E$10:$AW$175,BU$9,FALSE)-AC27)</f>
        <v>-</v>
      </c>
      <c r="BV27" s="91" t="str">
        <f>IF(AD27="-","-",VLOOKUP($E27,CTPit!$E$10:$AW$175,BV$9,FALSE)-AD27)</f>
        <v>-</v>
      </c>
      <c r="BW27" s="91" t="str">
        <f>IF(AE27="-","-",VLOOKUP($E27,CTPit!$E$10:$AW$175,BW$9,FALSE)-AE27)</f>
        <v>-</v>
      </c>
      <c r="BX27" s="91" t="str">
        <f>IF(AF27="-","-",VLOOKUP($E27,CTPit!$E$10:$AW$175,BX$9,FALSE)-AF27)</f>
        <v>-</v>
      </c>
      <c r="BY27" s="91" t="str">
        <f>IF(AG27="-","-",VLOOKUP($E27,CTPit!$E$10:$AW$175,BY$9,FALSE)-AG27)</f>
        <v>-</v>
      </c>
      <c r="BZ27" s="91" t="str">
        <f>IF(AH27="-","-",VLOOKUP($E27,CTPit!$E$10:$AW$175,BZ$9,FALSE)-AH27)</f>
        <v>-</v>
      </c>
      <c r="CA27" s="91" t="str">
        <f>IF(AI27="-","-",VLOOKUP($E27,CTPit!$E$10:$AW$175,CA$9,FALSE)-AI27)</f>
        <v>-</v>
      </c>
      <c r="CB27" s="91" t="str">
        <f>IF(AJ27="-","-",VLOOKUP($E27,CTPit!$E$10:$AW$175,CB$9,FALSE)-AJ27)</f>
        <v>-</v>
      </c>
      <c r="CC27" s="91" t="str">
        <f>IF(AK27="-","-",VLOOKUP($E27,CTPit!$E$10:$AW$175,CC$9,FALSE)-AK27)</f>
        <v>-</v>
      </c>
      <c r="CD27" s="91" t="str">
        <f>IF(AL27="-","-",VLOOKUP($E27,CTPit!$E$10:$AW$175,CD$9,FALSE)-AL27)</f>
        <v>-</v>
      </c>
      <c r="CE27" s="91" t="str">
        <f>IF(AM27="-","-",VLOOKUP($E27,CTPit!$E$10:$AW$175,CE$9,FALSE)-AM27)</f>
        <v>-</v>
      </c>
      <c r="CF27" s="91" t="str">
        <f>IF(AN27="-","-",VLOOKUP($E27,CTPit!$E$10:$AW$175,CF$9,FALSE)-AN27)</f>
        <v>-</v>
      </c>
      <c r="CG27" s="91" t="str">
        <f>IF(AO27="-","-",VLOOKUP($E27,CTPit!$E$10:$AW$175,CG$9,FALSE)-AO27)</f>
        <v>-</v>
      </c>
      <c r="CH27" s="91" t="str">
        <f>IF(AP27="-","-",VLOOKUP($E27,CTPit!$E$10:$AW$175,CH$9,FALSE)-AP27)</f>
        <v>-</v>
      </c>
      <c r="CI27" s="91" t="str">
        <f>IF(AQ27="-","-",VLOOKUP($E27,CTPit!$E$10:$AW$175,CI$9,FALSE)-AQ27)</f>
        <v>-</v>
      </c>
      <c r="CJ27" s="91" t="str">
        <f>IF(AR27="-","-",VLOOKUP($E27,CTPit!$E$10:$AW$175,CJ$9,FALSE)-AR27)</f>
        <v>-</v>
      </c>
      <c r="CK27">
        <f t="shared" si="15"/>
        <v>2</v>
      </c>
    </row>
    <row r="28" spans="3:89">
      <c r="C28" t="str">
        <f t="shared" si="5"/>
        <v>K</v>
      </c>
      <c r="D28" t="s">
        <v>108</v>
      </c>
      <c r="E28" t="s">
        <v>404</v>
      </c>
      <c r="F28" t="s">
        <v>372</v>
      </c>
      <c r="G28" t="s">
        <v>209</v>
      </c>
      <c r="H28">
        <v>22</v>
      </c>
      <c r="I28" t="s">
        <v>103</v>
      </c>
      <c r="J28" s="219" t="s">
        <v>103</v>
      </c>
      <c r="K28" t="s">
        <v>47</v>
      </c>
      <c r="L28" t="s">
        <v>42</v>
      </c>
      <c r="M28" t="s">
        <v>226</v>
      </c>
      <c r="N28" s="219" t="s">
        <v>226</v>
      </c>
      <c r="O28">
        <v>6</v>
      </c>
      <c r="P28">
        <v>4</v>
      </c>
      <c r="Q28" s="219">
        <v>4</v>
      </c>
      <c r="R28">
        <v>6</v>
      </c>
      <c r="S28">
        <v>4</v>
      </c>
      <c r="T28" s="219">
        <v>5</v>
      </c>
      <c r="U28">
        <v>6</v>
      </c>
      <c r="V28">
        <v>6</v>
      </c>
      <c r="W28">
        <v>7</v>
      </c>
      <c r="X28">
        <v>7</v>
      </c>
      <c r="Y28">
        <v>6</v>
      </c>
      <c r="Z28">
        <v>6</v>
      </c>
      <c r="AA28" t="s">
        <v>41</v>
      </c>
      <c r="AB28" t="s">
        <v>41</v>
      </c>
      <c r="AC28">
        <v>5</v>
      </c>
      <c r="AD28">
        <v>5</v>
      </c>
      <c r="AE28" t="s">
        <v>41</v>
      </c>
      <c r="AF28" t="s">
        <v>41</v>
      </c>
      <c r="AG28" t="s">
        <v>41</v>
      </c>
      <c r="AH28" t="s">
        <v>41</v>
      </c>
      <c r="AI28" t="s">
        <v>41</v>
      </c>
      <c r="AJ28" t="s">
        <v>41</v>
      </c>
      <c r="AK28" t="s">
        <v>41</v>
      </c>
      <c r="AL28" t="s">
        <v>41</v>
      </c>
      <c r="AM28" t="s">
        <v>41</v>
      </c>
      <c r="AN28" t="s">
        <v>41</v>
      </c>
      <c r="AO28" t="s">
        <v>41</v>
      </c>
      <c r="AP28" t="s">
        <v>41</v>
      </c>
      <c r="AQ28" t="s">
        <v>41</v>
      </c>
      <c r="AR28" s="219" t="s">
        <v>41</v>
      </c>
      <c r="AS28" t="s">
        <v>15</v>
      </c>
      <c r="AT28">
        <v>9</v>
      </c>
      <c r="AU28" s="269">
        <v>0.5</v>
      </c>
      <c r="AV28" t="s">
        <v>41</v>
      </c>
      <c r="AW28" s="8">
        <v>0</v>
      </c>
      <c r="AX28" s="6">
        <f t="shared" si="6"/>
        <v>5.166666666666667</v>
      </c>
      <c r="AY28" s="9" t="str">
        <f t="shared" si="7"/>
        <v>Reg</v>
      </c>
      <c r="AZ28" s="9">
        <f t="shared" si="8"/>
        <v>5.5</v>
      </c>
      <c r="BA28" s="9" t="str">
        <f t="shared" si="9"/>
        <v>Reg</v>
      </c>
      <c r="BB28" s="9">
        <f t="shared" si="10"/>
        <v>5.5</v>
      </c>
      <c r="BC28" s="9" t="str">
        <f t="shared" si="11"/>
        <v>Reg</v>
      </c>
      <c r="BD28" s="84">
        <f t="shared" si="12"/>
        <v>4</v>
      </c>
      <c r="BE28" s="83">
        <f t="shared" si="13"/>
        <v>3</v>
      </c>
      <c r="BF28" t="str">
        <f t="shared" si="14"/>
        <v/>
      </c>
      <c r="BG28" s="91">
        <f>IF(O28="-","-",VLOOKUP($E28,CTPit!$E$10:$AW$175,BG$9,FALSE)-O28)</f>
        <v>0</v>
      </c>
      <c r="BH28" s="91">
        <f>IF(P28="-","-",VLOOKUP($E28,CTPit!$E$10:$AW$175,BH$9,FALSE)-P28)</f>
        <v>0</v>
      </c>
      <c r="BI28" s="91">
        <f>IF(Q28="-","-",VLOOKUP($E28,CTPit!$E$10:$AW$175,BI$9,FALSE)-Q28)</f>
        <v>1</v>
      </c>
      <c r="BJ28" s="91">
        <f>IF(R28="-","-",VLOOKUP($E28,CTPit!$E$10:$AW$175,BJ$9,FALSE)-R28)</f>
        <v>0</v>
      </c>
      <c r="BK28" s="91">
        <f>IF(S28="-","-",VLOOKUP($E28,CTPit!$E$10:$AW$175,BK$9,FALSE)-S28)</f>
        <v>0</v>
      </c>
      <c r="BL28" s="91">
        <f>IF(T28="-","-",VLOOKUP($E28,CTPit!$E$10:$AW$175,BL$9,FALSE)-T28)</f>
        <v>0</v>
      </c>
      <c r="BM28" s="91">
        <f>IF(U28="-","-",VLOOKUP($E28,CTPit!$E$10:$AW$175,BM$9,FALSE)-U28)</f>
        <v>1</v>
      </c>
      <c r="BN28" s="91">
        <f>IF(V28="-","-",VLOOKUP($E28,CTPit!$E$10:$AW$175,BN$9,FALSE)-V28)</f>
        <v>1</v>
      </c>
      <c r="BO28" s="91">
        <f>IF(W28="-","-",VLOOKUP($E28,CTPit!$E$10:$AW$175,BO$9,FALSE)-W28)</f>
        <v>0</v>
      </c>
      <c r="BP28" s="91">
        <f>IF(X28="-","-",VLOOKUP($E28,CTPit!$E$10:$AW$175,BP$9,FALSE)-X28)</f>
        <v>0</v>
      </c>
      <c r="BQ28" s="91">
        <f>IF(Y28="-","-",VLOOKUP($E28,CTPit!$E$10:$AW$175,BQ$9,FALSE)-Y28)</f>
        <v>0</v>
      </c>
      <c r="BR28" s="91">
        <f>IF(Z28="-","-",VLOOKUP($E28,CTPit!$E$10:$AW$175,BR$9,FALSE)-Z28)</f>
        <v>0</v>
      </c>
      <c r="BS28" s="91" t="str">
        <f>IF(AA28="-","-",VLOOKUP($E28,CTPit!$E$10:$AW$175,BS$9,FALSE)-AA28)</f>
        <v>-</v>
      </c>
      <c r="BT28" s="91" t="str">
        <f>IF(AB28="-","-",VLOOKUP($E28,CTPit!$E$10:$AW$175,BT$9,FALSE)-AB28)</f>
        <v>-</v>
      </c>
      <c r="BU28" s="91">
        <f>IF(AC28="-","-",VLOOKUP($E28,CTPit!$E$10:$AW$175,BU$9,FALSE)-AC28)</f>
        <v>0</v>
      </c>
      <c r="BV28" s="91">
        <f>IF(AD28="-","-",VLOOKUP($E28,CTPit!$E$10:$AW$175,BV$9,FALSE)-AD28)</f>
        <v>1</v>
      </c>
      <c r="BW28" s="91" t="str">
        <f>IF(AE28="-","-",VLOOKUP($E28,CTPit!$E$10:$AW$175,BW$9,FALSE)-AE28)</f>
        <v>-</v>
      </c>
      <c r="BX28" s="91" t="str">
        <f>IF(AF28="-","-",VLOOKUP($E28,CTPit!$E$10:$AW$175,BX$9,FALSE)-AF28)</f>
        <v>-</v>
      </c>
      <c r="BY28" s="91" t="str">
        <f>IF(AG28="-","-",VLOOKUP($E28,CTPit!$E$10:$AW$175,BY$9,FALSE)-AG28)</f>
        <v>-</v>
      </c>
      <c r="BZ28" s="91" t="str">
        <f>IF(AH28="-","-",VLOOKUP($E28,CTPit!$E$10:$AW$175,BZ$9,FALSE)-AH28)</f>
        <v>-</v>
      </c>
      <c r="CA28" s="91" t="str">
        <f>IF(AI28="-","-",VLOOKUP($E28,CTPit!$E$10:$AW$175,CA$9,FALSE)-AI28)</f>
        <v>-</v>
      </c>
      <c r="CB28" s="91" t="str">
        <f>IF(AJ28="-","-",VLOOKUP($E28,CTPit!$E$10:$AW$175,CB$9,FALSE)-AJ28)</f>
        <v>-</v>
      </c>
      <c r="CC28" s="91" t="str">
        <f>IF(AK28="-","-",VLOOKUP($E28,CTPit!$E$10:$AW$175,CC$9,FALSE)-AK28)</f>
        <v>-</v>
      </c>
      <c r="CD28" s="91" t="str">
        <f>IF(AL28="-","-",VLOOKUP($E28,CTPit!$E$10:$AW$175,CD$9,FALSE)-AL28)</f>
        <v>-</v>
      </c>
      <c r="CE28" s="91" t="str">
        <f>IF(AM28="-","-",VLOOKUP($E28,CTPit!$E$10:$AW$175,CE$9,FALSE)-AM28)</f>
        <v>-</v>
      </c>
      <c r="CF28" s="91" t="str">
        <f>IF(AN28="-","-",VLOOKUP($E28,CTPit!$E$10:$AW$175,CF$9,FALSE)-AN28)</f>
        <v>-</v>
      </c>
      <c r="CG28" s="91" t="str">
        <f>IF(AO28="-","-",VLOOKUP($E28,CTPit!$E$10:$AW$175,CG$9,FALSE)-AO28)</f>
        <v>-</v>
      </c>
      <c r="CH28" s="91" t="str">
        <f>IF(AP28="-","-",VLOOKUP($E28,CTPit!$E$10:$AW$175,CH$9,FALSE)-AP28)</f>
        <v>-</v>
      </c>
      <c r="CI28" s="91" t="str">
        <f>IF(AQ28="-","-",VLOOKUP($E28,CTPit!$E$10:$AW$175,CI$9,FALSE)-AQ28)</f>
        <v>-</v>
      </c>
      <c r="CJ28" s="91" t="str">
        <f>IF(AR28="-","-",VLOOKUP($E28,CTPit!$E$10:$AW$175,CJ$9,FALSE)-AR28)</f>
        <v>-</v>
      </c>
      <c r="CK28">
        <f t="shared" si="15"/>
        <v>4</v>
      </c>
    </row>
    <row r="29" spans="3:89">
      <c r="C29" t="str">
        <f t="shared" si="5"/>
        <v>K</v>
      </c>
      <c r="D29" t="s">
        <v>108</v>
      </c>
      <c r="E29" t="s">
        <v>475</v>
      </c>
      <c r="F29" t="s">
        <v>370</v>
      </c>
      <c r="G29" t="s">
        <v>316</v>
      </c>
      <c r="H29">
        <v>22</v>
      </c>
      <c r="I29" t="s">
        <v>103</v>
      </c>
      <c r="J29" s="219" t="s">
        <v>103</v>
      </c>
      <c r="K29" t="s">
        <v>47</v>
      </c>
      <c r="L29" t="s">
        <v>42</v>
      </c>
      <c r="M29" t="s">
        <v>225</v>
      </c>
      <c r="N29" s="219" t="s">
        <v>224</v>
      </c>
      <c r="O29">
        <v>5</v>
      </c>
      <c r="P29">
        <v>4</v>
      </c>
      <c r="Q29" s="219">
        <v>3</v>
      </c>
      <c r="R29">
        <v>5</v>
      </c>
      <c r="S29">
        <v>4</v>
      </c>
      <c r="T29" s="219">
        <v>7</v>
      </c>
      <c r="U29">
        <v>6</v>
      </c>
      <c r="V29">
        <v>6</v>
      </c>
      <c r="W29">
        <v>6</v>
      </c>
      <c r="X29">
        <v>6</v>
      </c>
      <c r="Y29" t="s">
        <v>41</v>
      </c>
      <c r="Z29" t="s">
        <v>41</v>
      </c>
      <c r="AA29">
        <v>3</v>
      </c>
      <c r="AB29">
        <v>3</v>
      </c>
      <c r="AC29" t="s">
        <v>41</v>
      </c>
      <c r="AD29" t="s">
        <v>41</v>
      </c>
      <c r="AE29" t="s">
        <v>41</v>
      </c>
      <c r="AF29" t="s">
        <v>41</v>
      </c>
      <c r="AG29" t="s">
        <v>41</v>
      </c>
      <c r="AH29" t="s">
        <v>41</v>
      </c>
      <c r="AI29">
        <v>5</v>
      </c>
      <c r="AJ29">
        <v>6</v>
      </c>
      <c r="AK29" t="s">
        <v>41</v>
      </c>
      <c r="AL29" t="s">
        <v>41</v>
      </c>
      <c r="AM29" t="s">
        <v>41</v>
      </c>
      <c r="AN29" t="s">
        <v>41</v>
      </c>
      <c r="AO29" t="s">
        <v>41</v>
      </c>
      <c r="AP29" t="s">
        <v>41</v>
      </c>
      <c r="AQ29" t="s">
        <v>41</v>
      </c>
      <c r="AR29" s="219" t="s">
        <v>41</v>
      </c>
      <c r="AS29" t="s">
        <v>11</v>
      </c>
      <c r="AT29">
        <v>9</v>
      </c>
      <c r="AU29" s="11">
        <v>0.48</v>
      </c>
      <c r="AV29" s="85" t="s">
        <v>41</v>
      </c>
      <c r="AW29" s="219">
        <v>0</v>
      </c>
      <c r="AX29" s="6">
        <f t="shared" si="6"/>
        <v>4.5</v>
      </c>
      <c r="AY29" s="9" t="str">
        <f t="shared" si="7"/>
        <v>Bench</v>
      </c>
      <c r="AZ29" s="9">
        <f t="shared" si="8"/>
        <v>5.833333333333333</v>
      </c>
      <c r="BA29" s="9" t="str">
        <f t="shared" si="9"/>
        <v>Reg</v>
      </c>
      <c r="BB29" s="9">
        <f t="shared" si="10"/>
        <v>5.833333333333333</v>
      </c>
      <c r="BC29" s="9" t="str">
        <f t="shared" si="11"/>
        <v>Reg</v>
      </c>
      <c r="BD29" s="84">
        <f t="shared" si="12"/>
        <v>4</v>
      </c>
      <c r="BE29" s="83">
        <f t="shared" si="13"/>
        <v>2.5</v>
      </c>
      <c r="BF29" t="str">
        <f t="shared" si="14"/>
        <v/>
      </c>
      <c r="BG29" s="91">
        <f>IF(O29="-","-",VLOOKUP($E29,CTPit!$E$10:$AW$175,BG$9,FALSE)-O29)</f>
        <v>1</v>
      </c>
      <c r="BH29" s="91">
        <f>IF(P29="-","-",VLOOKUP($E29,CTPit!$E$10:$AW$175,BH$9,FALSE)-P29)</f>
        <v>0</v>
      </c>
      <c r="BI29" s="91">
        <f>IF(Q29="-","-",VLOOKUP($E29,CTPit!$E$10:$AW$175,BI$9,FALSE)-Q29)</f>
        <v>0</v>
      </c>
      <c r="BJ29" s="91">
        <f>IF(R29="-","-",VLOOKUP($E29,CTPit!$E$10:$AW$175,BJ$9,FALSE)-R29)</f>
        <v>1</v>
      </c>
      <c r="BK29" s="91">
        <f>IF(S29="-","-",VLOOKUP($E29,CTPit!$E$10:$AW$175,BK$9,FALSE)-S29)</f>
        <v>0</v>
      </c>
      <c r="BL29" s="91">
        <f>IF(T29="-","-",VLOOKUP($E29,CTPit!$E$10:$AW$175,BL$9,FALSE)-T29)</f>
        <v>-1</v>
      </c>
      <c r="BM29" s="91">
        <f>IF(U29="-","-",VLOOKUP($E29,CTPit!$E$10:$AW$175,BM$9,FALSE)-U29)</f>
        <v>1</v>
      </c>
      <c r="BN29" s="91">
        <f>IF(V29="-","-",VLOOKUP($E29,CTPit!$E$10:$AW$175,BN$9,FALSE)-V29)</f>
        <v>1</v>
      </c>
      <c r="BO29" s="91">
        <f>IF(W29="-","-",VLOOKUP($E29,CTPit!$E$10:$AW$175,BO$9,FALSE)-W29)</f>
        <v>1</v>
      </c>
      <c r="BP29" s="91">
        <f>IF(X29="-","-",VLOOKUP($E29,CTPit!$E$10:$AW$175,BP$9,FALSE)-X29)</f>
        <v>1</v>
      </c>
      <c r="BQ29" s="91" t="str">
        <f>IF(Y29="-","-",VLOOKUP($E29,CTPit!$E$10:$AW$175,BQ$9,FALSE)-Y29)</f>
        <v>-</v>
      </c>
      <c r="BR29" s="91" t="str">
        <f>IF(Z29="-","-",VLOOKUP($E29,CTPit!$E$10:$AW$175,BR$9,FALSE)-Z29)</f>
        <v>-</v>
      </c>
      <c r="BS29" s="91">
        <f>IF(AA29="-","-",VLOOKUP($E29,CTPit!$E$10:$AW$175,BS$9,FALSE)-AA29)</f>
        <v>0</v>
      </c>
      <c r="BT29" s="91">
        <f>IF(AB29="-","-",VLOOKUP($E29,CTPit!$E$10:$AW$175,BT$9,FALSE)-AB29)</f>
        <v>0</v>
      </c>
      <c r="BU29" s="91" t="str">
        <f>IF(AC29="-","-",VLOOKUP($E29,CTPit!$E$10:$AW$175,BU$9,FALSE)-AC29)</f>
        <v>-</v>
      </c>
      <c r="BV29" s="91" t="str">
        <f>IF(AD29="-","-",VLOOKUP($E29,CTPit!$E$10:$AW$175,BV$9,FALSE)-AD29)</f>
        <v>-</v>
      </c>
      <c r="BW29" s="91" t="str">
        <f>IF(AE29="-","-",VLOOKUP($E29,CTPit!$E$10:$AW$175,BW$9,FALSE)-AE29)</f>
        <v>-</v>
      </c>
      <c r="BX29" s="91" t="str">
        <f>IF(AF29="-","-",VLOOKUP($E29,CTPit!$E$10:$AW$175,BX$9,FALSE)-AF29)</f>
        <v>-</v>
      </c>
      <c r="BY29" s="91" t="str">
        <f>IF(AG29="-","-",VLOOKUP($E29,CTPit!$E$10:$AW$175,BY$9,FALSE)-AG29)</f>
        <v>-</v>
      </c>
      <c r="BZ29" s="91" t="str">
        <f>IF(AH29="-","-",VLOOKUP($E29,CTPit!$E$10:$AW$175,BZ$9,FALSE)-AH29)</f>
        <v>-</v>
      </c>
      <c r="CA29" s="91">
        <f>IF(AI29="-","-",VLOOKUP($E29,CTPit!$E$10:$AW$175,CA$9,FALSE)-AI29)</f>
        <v>1</v>
      </c>
      <c r="CB29" s="91">
        <f>IF(AJ29="-","-",VLOOKUP($E29,CTPit!$E$10:$AW$175,CB$9,FALSE)-AJ29)</f>
        <v>0</v>
      </c>
      <c r="CC29" s="91" t="str">
        <f>IF(AK29="-","-",VLOOKUP($E29,CTPit!$E$10:$AW$175,CC$9,FALSE)-AK29)</f>
        <v>-</v>
      </c>
      <c r="CD29" s="91" t="str">
        <f>IF(AL29="-","-",VLOOKUP($E29,CTPit!$E$10:$AW$175,CD$9,FALSE)-AL29)</f>
        <v>-</v>
      </c>
      <c r="CE29" s="91" t="str">
        <f>IF(AM29="-","-",VLOOKUP($E29,CTPit!$E$10:$AW$175,CE$9,FALSE)-AM29)</f>
        <v>-</v>
      </c>
      <c r="CF29" s="91" t="str">
        <f>IF(AN29="-","-",VLOOKUP($E29,CTPit!$E$10:$AW$175,CF$9,FALSE)-AN29)</f>
        <v>-</v>
      </c>
      <c r="CG29" s="91" t="str">
        <f>IF(AO29="-","-",VLOOKUP($E29,CTPit!$E$10:$AW$175,CG$9,FALSE)-AO29)</f>
        <v>-</v>
      </c>
      <c r="CH29" s="91" t="str">
        <f>IF(AP29="-","-",VLOOKUP($E29,CTPit!$E$10:$AW$175,CH$9,FALSE)-AP29)</f>
        <v>-</v>
      </c>
      <c r="CI29" s="91" t="str">
        <f>IF(AQ29="-","-",VLOOKUP($E29,CTPit!$E$10:$AW$175,CI$9,FALSE)-AQ29)</f>
        <v>-</v>
      </c>
      <c r="CJ29" s="91" t="str">
        <f>IF(AR29="-","-",VLOOKUP($E29,CTPit!$E$10:$AW$175,CJ$9,FALSE)-AR29)</f>
        <v>-</v>
      </c>
      <c r="CK29">
        <f t="shared" si="15"/>
        <v>6</v>
      </c>
    </row>
    <row r="30" spans="3:89">
      <c r="C30" t="str">
        <f t="shared" si="5"/>
        <v>K</v>
      </c>
      <c r="D30" t="s">
        <v>108</v>
      </c>
      <c r="E30" t="s">
        <v>530</v>
      </c>
      <c r="F30" t="s">
        <v>370</v>
      </c>
      <c r="G30" t="s">
        <v>316</v>
      </c>
      <c r="H30">
        <v>22</v>
      </c>
      <c r="I30" t="s">
        <v>104</v>
      </c>
      <c r="J30" s="219" t="s">
        <v>104</v>
      </c>
      <c r="K30" t="s">
        <v>47</v>
      </c>
      <c r="L30" t="s">
        <v>42</v>
      </c>
      <c r="M30" t="s">
        <v>223</v>
      </c>
      <c r="N30" s="219" t="s">
        <v>224</v>
      </c>
      <c r="O30">
        <v>5</v>
      </c>
      <c r="P30">
        <v>3</v>
      </c>
      <c r="Q30" s="219">
        <v>2</v>
      </c>
      <c r="R30">
        <v>6</v>
      </c>
      <c r="S30">
        <v>3</v>
      </c>
      <c r="T30" s="219">
        <v>6</v>
      </c>
      <c r="U30">
        <v>7</v>
      </c>
      <c r="V30">
        <v>7</v>
      </c>
      <c r="W30">
        <v>4</v>
      </c>
      <c r="X30">
        <v>5</v>
      </c>
      <c r="Y30">
        <v>6</v>
      </c>
      <c r="Z30">
        <v>6</v>
      </c>
      <c r="AA30">
        <v>4</v>
      </c>
      <c r="AB30">
        <v>4</v>
      </c>
      <c r="AC30" t="s">
        <v>41</v>
      </c>
      <c r="AD30" t="s">
        <v>41</v>
      </c>
      <c r="AE30" t="s">
        <v>41</v>
      </c>
      <c r="AF30" t="s">
        <v>41</v>
      </c>
      <c r="AG30" t="s">
        <v>41</v>
      </c>
      <c r="AH30" t="s">
        <v>41</v>
      </c>
      <c r="AI30" t="s">
        <v>41</v>
      </c>
      <c r="AJ30" t="s">
        <v>41</v>
      </c>
      <c r="AK30" t="s">
        <v>41</v>
      </c>
      <c r="AL30" t="s">
        <v>41</v>
      </c>
      <c r="AM30" t="s">
        <v>41</v>
      </c>
      <c r="AN30" t="s">
        <v>41</v>
      </c>
      <c r="AO30" t="s">
        <v>41</v>
      </c>
      <c r="AP30" t="s">
        <v>41</v>
      </c>
      <c r="AQ30" t="s">
        <v>41</v>
      </c>
      <c r="AR30" s="219" t="s">
        <v>41</v>
      </c>
      <c r="AS30" t="s">
        <v>434</v>
      </c>
      <c r="AT30">
        <v>9</v>
      </c>
      <c r="AU30" s="11">
        <v>0.37</v>
      </c>
      <c r="AV30" s="85" t="s">
        <v>41</v>
      </c>
      <c r="AW30" s="219">
        <v>0</v>
      </c>
      <c r="AX30" s="6">
        <f t="shared" si="6"/>
        <v>3.8333333333333335</v>
      </c>
      <c r="AY30" s="9" t="str">
        <f t="shared" si="7"/>
        <v>Minors</v>
      </c>
      <c r="AZ30" s="9">
        <f t="shared" si="8"/>
        <v>5.5</v>
      </c>
      <c r="BA30" s="9" t="str">
        <f t="shared" si="9"/>
        <v>Reg</v>
      </c>
      <c r="BB30" s="9">
        <f t="shared" si="10"/>
        <v>5.5</v>
      </c>
      <c r="BC30" s="9" t="str">
        <f t="shared" si="11"/>
        <v>Reg</v>
      </c>
      <c r="BD30" s="84">
        <f t="shared" si="12"/>
        <v>4</v>
      </c>
      <c r="BE30" s="83">
        <f t="shared" si="13"/>
        <v>2</v>
      </c>
      <c r="BF30" t="str">
        <f t="shared" si="14"/>
        <v/>
      </c>
      <c r="BG30" s="91">
        <f>IF(O30="-","-",VLOOKUP($E30,CTPit!$E$10:$AW$175,BG$9,FALSE)-O30)</f>
        <v>1</v>
      </c>
      <c r="BH30" s="91">
        <f>IF(P30="-","-",VLOOKUP($E30,CTPit!$E$10:$AW$175,BH$9,FALSE)-P30)</f>
        <v>1</v>
      </c>
      <c r="BI30" s="91">
        <f>IF(Q30="-","-",VLOOKUP($E30,CTPit!$E$10:$AW$175,BI$9,FALSE)-Q30)</f>
        <v>1</v>
      </c>
      <c r="BJ30" s="91">
        <f>IF(R30="-","-",VLOOKUP($E30,CTPit!$E$10:$AW$175,BJ$9,FALSE)-R30)</f>
        <v>0</v>
      </c>
      <c r="BK30" s="91">
        <f>IF(S30="-","-",VLOOKUP($E30,CTPit!$E$10:$AW$175,BK$9,FALSE)-S30)</f>
        <v>1</v>
      </c>
      <c r="BL30" s="91">
        <f>IF(T30="-","-",VLOOKUP($E30,CTPit!$E$10:$AW$175,BL$9,FALSE)-T30)</f>
        <v>-1</v>
      </c>
      <c r="BM30" s="91">
        <f>IF(U30="-","-",VLOOKUP($E30,CTPit!$E$10:$AW$175,BM$9,FALSE)-U30)</f>
        <v>0</v>
      </c>
      <c r="BN30" s="91">
        <f>IF(V30="-","-",VLOOKUP($E30,CTPit!$E$10:$AW$175,BN$9,FALSE)-V30)</f>
        <v>0</v>
      </c>
      <c r="BO30" s="91">
        <f>IF(W30="-","-",VLOOKUP($E30,CTPit!$E$10:$AW$175,BO$9,FALSE)-W30)</f>
        <v>0</v>
      </c>
      <c r="BP30" s="91">
        <f>IF(X30="-","-",VLOOKUP($E30,CTPit!$E$10:$AW$175,BP$9,FALSE)-X30)</f>
        <v>0</v>
      </c>
      <c r="BQ30" s="91">
        <f>IF(Y30="-","-",VLOOKUP($E30,CTPit!$E$10:$AW$175,BQ$9,FALSE)-Y30)</f>
        <v>0</v>
      </c>
      <c r="BR30" s="91">
        <f>IF(Z30="-","-",VLOOKUP($E30,CTPit!$E$10:$AW$175,BR$9,FALSE)-Z30)</f>
        <v>0</v>
      </c>
      <c r="BS30" s="91">
        <f>IF(AA30="-","-",VLOOKUP($E30,CTPit!$E$10:$AW$175,BS$9,FALSE)-AA30)</f>
        <v>0</v>
      </c>
      <c r="BT30" s="91">
        <f>IF(AB30="-","-",VLOOKUP($E30,CTPit!$E$10:$AW$175,BT$9,FALSE)-AB30)</f>
        <v>0</v>
      </c>
      <c r="BU30" s="91" t="str">
        <f>IF(AC30="-","-",VLOOKUP($E30,CTPit!$E$10:$AW$175,BU$9,FALSE)-AC30)</f>
        <v>-</v>
      </c>
      <c r="BV30" s="91" t="str">
        <f>IF(AD30="-","-",VLOOKUP($E30,CTPit!$E$10:$AW$175,BV$9,FALSE)-AD30)</f>
        <v>-</v>
      </c>
      <c r="BW30" s="91" t="str">
        <f>IF(AE30="-","-",VLOOKUP($E30,CTPit!$E$10:$AW$175,BW$9,FALSE)-AE30)</f>
        <v>-</v>
      </c>
      <c r="BX30" s="91" t="str">
        <f>IF(AF30="-","-",VLOOKUP($E30,CTPit!$E$10:$AW$175,BX$9,FALSE)-AF30)</f>
        <v>-</v>
      </c>
      <c r="BY30" s="91" t="str">
        <f>IF(AG30="-","-",VLOOKUP($E30,CTPit!$E$10:$AW$175,BY$9,FALSE)-AG30)</f>
        <v>-</v>
      </c>
      <c r="BZ30" s="91" t="str">
        <f>IF(AH30="-","-",VLOOKUP($E30,CTPit!$E$10:$AW$175,BZ$9,FALSE)-AH30)</f>
        <v>-</v>
      </c>
      <c r="CA30" s="91" t="str">
        <f>IF(AI30="-","-",VLOOKUP($E30,CTPit!$E$10:$AW$175,CA$9,FALSE)-AI30)</f>
        <v>-</v>
      </c>
      <c r="CB30" s="91" t="str">
        <f>IF(AJ30="-","-",VLOOKUP($E30,CTPit!$E$10:$AW$175,CB$9,FALSE)-AJ30)</f>
        <v>-</v>
      </c>
      <c r="CC30" s="91" t="str">
        <f>IF(AK30="-","-",VLOOKUP($E30,CTPit!$E$10:$AW$175,CC$9,FALSE)-AK30)</f>
        <v>-</v>
      </c>
      <c r="CD30" s="91" t="str">
        <f>IF(AL30="-","-",VLOOKUP($E30,CTPit!$E$10:$AW$175,CD$9,FALSE)-AL30)</f>
        <v>-</v>
      </c>
      <c r="CE30" s="91" t="str">
        <f>IF(AM30="-","-",VLOOKUP($E30,CTPit!$E$10:$AW$175,CE$9,FALSE)-AM30)</f>
        <v>-</v>
      </c>
      <c r="CF30" s="91" t="str">
        <f>IF(AN30="-","-",VLOOKUP($E30,CTPit!$E$10:$AW$175,CF$9,FALSE)-AN30)</f>
        <v>-</v>
      </c>
      <c r="CG30" s="91" t="str">
        <f>IF(AO30="-","-",VLOOKUP($E30,CTPit!$E$10:$AW$175,CG$9,FALSE)-AO30)</f>
        <v>-</v>
      </c>
      <c r="CH30" s="91" t="str">
        <f>IF(AP30="-","-",VLOOKUP($E30,CTPit!$E$10:$AW$175,CH$9,FALSE)-AP30)</f>
        <v>-</v>
      </c>
      <c r="CI30" s="91" t="str">
        <f>IF(AQ30="-","-",VLOOKUP($E30,CTPit!$E$10:$AW$175,CI$9,FALSE)-AQ30)</f>
        <v>-</v>
      </c>
      <c r="CJ30" s="91" t="str">
        <f>IF(AR30="-","-",VLOOKUP($E30,CTPit!$E$10:$AW$175,CJ$9,FALSE)-AR30)</f>
        <v>-</v>
      </c>
      <c r="CK30">
        <f t="shared" si="15"/>
        <v>3</v>
      </c>
    </row>
    <row r="31" spans="3:89">
      <c r="C31" t="str">
        <f t="shared" si="5"/>
        <v>K</v>
      </c>
      <c r="D31" t="s">
        <v>108</v>
      </c>
      <c r="E31" t="s">
        <v>531</v>
      </c>
      <c r="F31" t="s">
        <v>370</v>
      </c>
      <c r="G31" t="s">
        <v>316</v>
      </c>
      <c r="H31">
        <v>21</v>
      </c>
      <c r="I31" t="s">
        <v>103</v>
      </c>
      <c r="J31" s="219" t="s">
        <v>103</v>
      </c>
      <c r="K31" t="s">
        <v>47</v>
      </c>
      <c r="L31" t="s">
        <v>42</v>
      </c>
      <c r="M31" t="s">
        <v>223</v>
      </c>
      <c r="N31" s="219" t="s">
        <v>223</v>
      </c>
      <c r="O31">
        <v>5</v>
      </c>
      <c r="P31">
        <v>4</v>
      </c>
      <c r="Q31" s="219">
        <v>1</v>
      </c>
      <c r="R31">
        <v>6</v>
      </c>
      <c r="S31">
        <v>4</v>
      </c>
      <c r="T31" s="219">
        <v>4</v>
      </c>
      <c r="U31">
        <v>6</v>
      </c>
      <c r="V31">
        <v>7</v>
      </c>
      <c r="W31">
        <v>4</v>
      </c>
      <c r="X31">
        <v>4</v>
      </c>
      <c r="Y31" t="s">
        <v>41</v>
      </c>
      <c r="Z31" t="s">
        <v>41</v>
      </c>
      <c r="AA31">
        <v>4</v>
      </c>
      <c r="AB31">
        <v>5</v>
      </c>
      <c r="AC31" t="s">
        <v>41</v>
      </c>
      <c r="AD31" t="s">
        <v>41</v>
      </c>
      <c r="AE31" t="s">
        <v>41</v>
      </c>
      <c r="AF31" t="s">
        <v>41</v>
      </c>
      <c r="AG31">
        <v>5</v>
      </c>
      <c r="AH31">
        <v>6</v>
      </c>
      <c r="AI31" t="s">
        <v>41</v>
      </c>
      <c r="AJ31" t="s">
        <v>41</v>
      </c>
      <c r="AK31" t="s">
        <v>41</v>
      </c>
      <c r="AL31" t="s">
        <v>41</v>
      </c>
      <c r="AM31" t="s">
        <v>41</v>
      </c>
      <c r="AN31" t="s">
        <v>41</v>
      </c>
      <c r="AO31" t="s">
        <v>41</v>
      </c>
      <c r="AP31" t="s">
        <v>41</v>
      </c>
      <c r="AQ31" t="s">
        <v>41</v>
      </c>
      <c r="AR31" s="219" t="s">
        <v>41</v>
      </c>
      <c r="AS31" t="s">
        <v>242</v>
      </c>
      <c r="AT31">
        <v>6</v>
      </c>
      <c r="AU31" s="11">
        <v>0.5</v>
      </c>
      <c r="AV31" s="85" t="s">
        <v>41</v>
      </c>
      <c r="AW31" s="219">
        <v>0</v>
      </c>
      <c r="AX31" s="6">
        <f t="shared" si="6"/>
        <v>3.8333333333333335</v>
      </c>
      <c r="AY31" s="9" t="str">
        <f t="shared" si="7"/>
        <v>Minors</v>
      </c>
      <c r="AZ31" s="9">
        <f t="shared" si="8"/>
        <v>5.166666666666667</v>
      </c>
      <c r="BA31" s="9" t="str">
        <f t="shared" si="9"/>
        <v>Reg</v>
      </c>
      <c r="BB31" s="9">
        <f t="shared" si="10"/>
        <v>5.166666666666667</v>
      </c>
      <c r="BC31" s="9" t="str">
        <f t="shared" si="11"/>
        <v>Reg</v>
      </c>
      <c r="BD31" s="84">
        <f t="shared" si="12"/>
        <v>4</v>
      </c>
      <c r="BE31" s="83">
        <f t="shared" si="13"/>
        <v>1.5</v>
      </c>
      <c r="BF31" t="str">
        <f t="shared" si="14"/>
        <v/>
      </c>
      <c r="BG31" s="91">
        <f>IF(O31="-","-",VLOOKUP($E31,CTPit!$E$10:$AW$175,BG$9,FALSE)-O31)</f>
        <v>0</v>
      </c>
      <c r="BH31" s="91">
        <f>IF(P31="-","-",VLOOKUP($E31,CTPit!$E$10:$AW$175,BH$9,FALSE)-P31)</f>
        <v>0</v>
      </c>
      <c r="BI31" s="91">
        <f>IF(Q31="-","-",VLOOKUP($E31,CTPit!$E$10:$AW$175,BI$9,FALSE)-Q31)</f>
        <v>0</v>
      </c>
      <c r="BJ31" s="91">
        <f>IF(R31="-","-",VLOOKUP($E31,CTPit!$E$10:$AW$175,BJ$9,FALSE)-R31)</f>
        <v>0</v>
      </c>
      <c r="BK31" s="91">
        <f>IF(S31="-","-",VLOOKUP($E31,CTPit!$E$10:$AW$175,BK$9,FALSE)-S31)</f>
        <v>0</v>
      </c>
      <c r="BL31" s="91">
        <f>IF(T31="-","-",VLOOKUP($E31,CTPit!$E$10:$AW$175,BL$9,FALSE)-T31)</f>
        <v>-1</v>
      </c>
      <c r="BM31" s="91">
        <f>IF(U31="-","-",VLOOKUP($E31,CTPit!$E$10:$AW$175,BM$9,FALSE)-U31)</f>
        <v>1</v>
      </c>
      <c r="BN31" s="91">
        <f>IF(V31="-","-",VLOOKUP($E31,CTPit!$E$10:$AW$175,BN$9,FALSE)-V31)</f>
        <v>0</v>
      </c>
      <c r="BO31" s="91">
        <f>IF(W31="-","-",VLOOKUP($E31,CTPit!$E$10:$AW$175,BO$9,FALSE)-W31)</f>
        <v>0</v>
      </c>
      <c r="BP31" s="91">
        <f>IF(X31="-","-",VLOOKUP($E31,CTPit!$E$10:$AW$175,BP$9,FALSE)-X31)</f>
        <v>0</v>
      </c>
      <c r="BQ31" s="91" t="str">
        <f>IF(Y31="-","-",VLOOKUP($E31,CTPit!$E$10:$AW$175,BQ$9,FALSE)-Y31)</f>
        <v>-</v>
      </c>
      <c r="BR31" s="91" t="str">
        <f>IF(Z31="-","-",VLOOKUP($E31,CTPit!$E$10:$AW$175,BR$9,FALSE)-Z31)</f>
        <v>-</v>
      </c>
      <c r="BS31" s="91">
        <f>IF(AA31="-","-",VLOOKUP($E31,CTPit!$E$10:$AW$175,BS$9,FALSE)-AA31)</f>
        <v>1</v>
      </c>
      <c r="BT31" s="91">
        <f>IF(AB31="-","-",VLOOKUP($E31,CTPit!$E$10:$AW$175,BT$9,FALSE)-AB31)</f>
        <v>0</v>
      </c>
      <c r="BU31" s="91" t="str">
        <f>IF(AC31="-","-",VLOOKUP($E31,CTPit!$E$10:$AW$175,BU$9,FALSE)-AC31)</f>
        <v>-</v>
      </c>
      <c r="BV31" s="91" t="str">
        <f>IF(AD31="-","-",VLOOKUP($E31,CTPit!$E$10:$AW$175,BV$9,FALSE)-AD31)</f>
        <v>-</v>
      </c>
      <c r="BW31" s="91" t="str">
        <f>IF(AE31="-","-",VLOOKUP($E31,CTPit!$E$10:$AW$175,BW$9,FALSE)-AE31)</f>
        <v>-</v>
      </c>
      <c r="BX31" s="91" t="str">
        <f>IF(AF31="-","-",VLOOKUP($E31,CTPit!$E$10:$AW$175,BX$9,FALSE)-AF31)</f>
        <v>-</v>
      </c>
      <c r="BY31" s="91">
        <f>IF(AG31="-","-",VLOOKUP($E31,CTPit!$E$10:$AW$175,BY$9,FALSE)-AG31)</f>
        <v>1</v>
      </c>
      <c r="BZ31" s="91">
        <f>IF(AH31="-","-",VLOOKUP($E31,CTPit!$E$10:$AW$175,BZ$9,FALSE)-AH31)</f>
        <v>0</v>
      </c>
      <c r="CA31" s="91" t="str">
        <f>IF(AI31="-","-",VLOOKUP($E31,CTPit!$E$10:$AW$175,CA$9,FALSE)-AI31)</f>
        <v>-</v>
      </c>
      <c r="CB31" s="91" t="str">
        <f>IF(AJ31="-","-",VLOOKUP($E31,CTPit!$E$10:$AW$175,CB$9,FALSE)-AJ31)</f>
        <v>-</v>
      </c>
      <c r="CC31" s="91" t="str">
        <f>IF(AK31="-","-",VLOOKUP($E31,CTPit!$E$10:$AW$175,CC$9,FALSE)-AK31)</f>
        <v>-</v>
      </c>
      <c r="CD31" s="91" t="str">
        <f>IF(AL31="-","-",VLOOKUP($E31,CTPit!$E$10:$AW$175,CD$9,FALSE)-AL31)</f>
        <v>-</v>
      </c>
      <c r="CE31" s="91" t="str">
        <f>IF(AM31="-","-",VLOOKUP($E31,CTPit!$E$10:$AW$175,CE$9,FALSE)-AM31)</f>
        <v>-</v>
      </c>
      <c r="CF31" s="91" t="str">
        <f>IF(AN31="-","-",VLOOKUP($E31,CTPit!$E$10:$AW$175,CF$9,FALSE)-AN31)</f>
        <v>-</v>
      </c>
      <c r="CG31" s="91" t="str">
        <f>IF(AO31="-","-",VLOOKUP($E31,CTPit!$E$10:$AW$175,CG$9,FALSE)-AO31)</f>
        <v>-</v>
      </c>
      <c r="CH31" s="91" t="str">
        <f>IF(AP31="-","-",VLOOKUP($E31,CTPit!$E$10:$AW$175,CH$9,FALSE)-AP31)</f>
        <v>-</v>
      </c>
      <c r="CI31" s="91" t="str">
        <f>IF(AQ31="-","-",VLOOKUP($E31,CTPit!$E$10:$AW$175,CI$9,FALSE)-AQ31)</f>
        <v>-</v>
      </c>
      <c r="CJ31" s="91" t="str">
        <f>IF(AR31="-","-",VLOOKUP($E31,CTPit!$E$10:$AW$175,CJ$9,FALSE)-AR31)</f>
        <v>-</v>
      </c>
      <c r="CK31">
        <f t="shared" si="15"/>
        <v>2</v>
      </c>
    </row>
    <row r="32" spans="3:89">
      <c r="C32" t="str">
        <f t="shared" si="5"/>
        <v>K</v>
      </c>
      <c r="D32" t="s">
        <v>108</v>
      </c>
      <c r="E32" t="s">
        <v>432</v>
      </c>
      <c r="F32" t="s">
        <v>371</v>
      </c>
      <c r="G32" t="s">
        <v>208</v>
      </c>
      <c r="H32">
        <v>33</v>
      </c>
      <c r="I32" t="s">
        <v>104</v>
      </c>
      <c r="J32" s="219" t="s">
        <v>104</v>
      </c>
      <c r="K32" t="s">
        <v>42</v>
      </c>
      <c r="L32" t="s">
        <v>42</v>
      </c>
      <c r="M32" t="s">
        <v>227</v>
      </c>
      <c r="N32" s="219" t="s">
        <v>226</v>
      </c>
      <c r="O32">
        <v>6</v>
      </c>
      <c r="P32">
        <v>5</v>
      </c>
      <c r="Q32" s="219">
        <v>6</v>
      </c>
      <c r="R32">
        <v>6</v>
      </c>
      <c r="S32">
        <v>5</v>
      </c>
      <c r="T32" s="219">
        <v>6</v>
      </c>
      <c r="U32">
        <v>5</v>
      </c>
      <c r="V32">
        <v>5</v>
      </c>
      <c r="W32">
        <v>5</v>
      </c>
      <c r="X32">
        <v>5</v>
      </c>
      <c r="Y32" t="s">
        <v>41</v>
      </c>
      <c r="Z32" t="s">
        <v>41</v>
      </c>
      <c r="AA32">
        <v>5</v>
      </c>
      <c r="AB32">
        <v>5</v>
      </c>
      <c r="AC32">
        <v>5</v>
      </c>
      <c r="AD32">
        <v>5</v>
      </c>
      <c r="AE32">
        <v>5</v>
      </c>
      <c r="AF32">
        <v>5</v>
      </c>
      <c r="AG32">
        <v>5</v>
      </c>
      <c r="AH32">
        <v>5</v>
      </c>
      <c r="AI32" t="s">
        <v>41</v>
      </c>
      <c r="AJ32" t="s">
        <v>41</v>
      </c>
      <c r="AK32" t="s">
        <v>41</v>
      </c>
      <c r="AL32" t="s">
        <v>41</v>
      </c>
      <c r="AM32" t="s">
        <v>41</v>
      </c>
      <c r="AN32" t="s">
        <v>41</v>
      </c>
      <c r="AO32">
        <v>5</v>
      </c>
      <c r="AP32">
        <v>5</v>
      </c>
      <c r="AQ32" t="s">
        <v>41</v>
      </c>
      <c r="AR32" s="219" t="s">
        <v>41</v>
      </c>
      <c r="AS32" t="s">
        <v>6</v>
      </c>
      <c r="AT32">
        <v>9</v>
      </c>
      <c r="AU32" s="11">
        <v>0.65</v>
      </c>
      <c r="AV32" s="85">
        <v>490000</v>
      </c>
      <c r="AW32" s="219" t="s">
        <v>45</v>
      </c>
      <c r="AX32" s="6">
        <f t="shared" si="6"/>
        <v>6.916666666666667</v>
      </c>
      <c r="AY32" s="9" t="str">
        <f t="shared" si="7"/>
        <v>GoodReg</v>
      </c>
      <c r="AZ32" s="9">
        <f t="shared" si="8"/>
        <v>6.916666666666667</v>
      </c>
      <c r="BA32" s="9" t="str">
        <f t="shared" si="9"/>
        <v>GoodReg</v>
      </c>
      <c r="BB32" s="9">
        <f t="shared" si="10"/>
        <v>6.916666666666667</v>
      </c>
      <c r="BC32" s="9" t="str">
        <f t="shared" si="11"/>
        <v>GoodReg</v>
      </c>
      <c r="BD32" s="84">
        <f t="shared" si="12"/>
        <v>7</v>
      </c>
      <c r="BE32" s="83">
        <f t="shared" si="13"/>
        <v>0</v>
      </c>
      <c r="BF32" t="str">
        <f t="shared" si="14"/>
        <v/>
      </c>
      <c r="BG32" s="91">
        <f>IF(O32="-","-",VLOOKUP($E32,CTPit!$E$10:$AW$175,BG$9,FALSE)-O32)</f>
        <v>-1</v>
      </c>
      <c r="BH32" s="91">
        <f>IF(P32="-","-",VLOOKUP($E32,CTPit!$E$10:$AW$175,BH$9,FALSE)-P32)</f>
        <v>0</v>
      </c>
      <c r="BI32" s="91">
        <f>IF(Q32="-","-",VLOOKUP($E32,CTPit!$E$10:$AW$175,BI$9,FALSE)-Q32)</f>
        <v>0</v>
      </c>
      <c r="BJ32" s="91">
        <f>IF(R32="-","-",VLOOKUP($E32,CTPit!$E$10:$AW$175,BJ$9,FALSE)-R32)</f>
        <v>-1</v>
      </c>
      <c r="BK32" s="91">
        <f>IF(S32="-","-",VLOOKUP($E32,CTPit!$E$10:$AW$175,BK$9,FALSE)-S32)</f>
        <v>0</v>
      </c>
      <c r="BL32" s="91">
        <f>IF(T32="-","-",VLOOKUP($E32,CTPit!$E$10:$AW$175,BL$9,FALSE)-T32)</f>
        <v>0</v>
      </c>
      <c r="BM32" s="91">
        <f>IF(U32="-","-",VLOOKUP($E32,CTPit!$E$10:$AW$175,BM$9,FALSE)-U32)</f>
        <v>0</v>
      </c>
      <c r="BN32" s="91">
        <f>IF(V32="-","-",VLOOKUP($E32,CTPit!$E$10:$AW$175,BN$9,FALSE)-V32)</f>
        <v>0</v>
      </c>
      <c r="BO32" s="91">
        <f>IF(W32="-","-",VLOOKUP($E32,CTPit!$E$10:$AW$175,BO$9,FALSE)-W32)</f>
        <v>0</v>
      </c>
      <c r="BP32" s="91">
        <f>IF(X32="-","-",VLOOKUP($E32,CTPit!$E$10:$AW$175,BP$9,FALSE)-X32)</f>
        <v>0</v>
      </c>
      <c r="BQ32" s="91" t="str">
        <f>IF(Y32="-","-",VLOOKUP($E32,CTPit!$E$10:$AW$175,BQ$9,FALSE)-Y32)</f>
        <v>-</v>
      </c>
      <c r="BR32" s="91" t="str">
        <f>IF(Z32="-","-",VLOOKUP($E32,CTPit!$E$10:$AW$175,BR$9,FALSE)-Z32)</f>
        <v>-</v>
      </c>
      <c r="BS32" s="91">
        <f>IF(AA32="-","-",VLOOKUP($E32,CTPit!$E$10:$AW$175,BS$9,FALSE)-AA32)</f>
        <v>0</v>
      </c>
      <c r="BT32" s="91">
        <f>IF(AB32="-","-",VLOOKUP($E32,CTPit!$E$10:$AW$175,BT$9,FALSE)-AB32)</f>
        <v>0</v>
      </c>
      <c r="BU32" s="91">
        <f>IF(AC32="-","-",VLOOKUP($E32,CTPit!$E$10:$AW$175,BU$9,FALSE)-AC32)</f>
        <v>0</v>
      </c>
      <c r="BV32" s="91">
        <f>IF(AD32="-","-",VLOOKUP($E32,CTPit!$E$10:$AW$175,BV$9,FALSE)-AD32)</f>
        <v>0</v>
      </c>
      <c r="BW32" s="91">
        <f>IF(AE32="-","-",VLOOKUP($E32,CTPit!$E$10:$AW$175,BW$9,FALSE)-AE32)</f>
        <v>0</v>
      </c>
      <c r="BX32" s="91">
        <f>IF(AF32="-","-",VLOOKUP($E32,CTPit!$E$10:$AW$175,BX$9,FALSE)-AF32)</f>
        <v>0</v>
      </c>
      <c r="BY32" s="91">
        <f>IF(AG32="-","-",VLOOKUP($E32,CTPit!$E$10:$AW$175,BY$9,FALSE)-AG32)</f>
        <v>0</v>
      </c>
      <c r="BZ32" s="91">
        <f>IF(AH32="-","-",VLOOKUP($E32,CTPit!$E$10:$AW$175,BZ$9,FALSE)-AH32)</f>
        <v>0</v>
      </c>
      <c r="CA32" s="91" t="str">
        <f>IF(AI32="-","-",VLOOKUP($E32,CTPit!$E$10:$AW$175,CA$9,FALSE)-AI32)</f>
        <v>-</v>
      </c>
      <c r="CB32" s="91" t="str">
        <f>IF(AJ32="-","-",VLOOKUP($E32,CTPit!$E$10:$AW$175,CB$9,FALSE)-AJ32)</f>
        <v>-</v>
      </c>
      <c r="CC32" s="91" t="str">
        <f>IF(AK32="-","-",VLOOKUP($E32,CTPit!$E$10:$AW$175,CC$9,FALSE)-AK32)</f>
        <v>-</v>
      </c>
      <c r="CD32" s="91" t="str">
        <f>IF(AL32="-","-",VLOOKUP($E32,CTPit!$E$10:$AW$175,CD$9,FALSE)-AL32)</f>
        <v>-</v>
      </c>
      <c r="CE32" s="91" t="str">
        <f>IF(AM32="-","-",VLOOKUP($E32,CTPit!$E$10:$AW$175,CE$9,FALSE)-AM32)</f>
        <v>-</v>
      </c>
      <c r="CF32" s="91" t="str">
        <f>IF(AN32="-","-",VLOOKUP($E32,CTPit!$E$10:$AW$175,CF$9,FALSE)-AN32)</f>
        <v>-</v>
      </c>
      <c r="CG32" s="91">
        <f>IF(AO32="-","-",VLOOKUP($E32,CTPit!$E$10:$AW$175,CG$9,FALSE)-AO32)</f>
        <v>0</v>
      </c>
      <c r="CH32" s="91">
        <f>IF(AP32="-","-",VLOOKUP($E32,CTPit!$E$10:$AW$175,CH$9,FALSE)-AP32)</f>
        <v>0</v>
      </c>
      <c r="CI32" s="91" t="str">
        <f>IF(AQ32="-","-",VLOOKUP($E32,CTPit!$E$10:$AW$175,CI$9,FALSE)-AQ32)</f>
        <v>-</v>
      </c>
      <c r="CJ32" s="91" t="str">
        <f>IF(AR32="-","-",VLOOKUP($E32,CTPit!$E$10:$AW$175,CJ$9,FALSE)-AR32)</f>
        <v>-</v>
      </c>
      <c r="CK32">
        <f t="shared" si="15"/>
        <v>-2</v>
      </c>
    </row>
    <row r="33" spans="3:89">
      <c r="C33" t="str">
        <f t="shared" si="5"/>
        <v>K</v>
      </c>
      <c r="D33" t="s">
        <v>107</v>
      </c>
      <c r="E33" t="s">
        <v>513</v>
      </c>
      <c r="F33" t="s">
        <v>372</v>
      </c>
      <c r="G33" t="s">
        <v>209</v>
      </c>
      <c r="H33">
        <v>31</v>
      </c>
      <c r="I33" t="s">
        <v>103</v>
      </c>
      <c r="J33" s="219" t="s">
        <v>104</v>
      </c>
      <c r="K33" t="s">
        <v>42</v>
      </c>
      <c r="L33" t="s">
        <v>42</v>
      </c>
      <c r="M33" t="s">
        <v>223</v>
      </c>
      <c r="N33" s="219" t="s">
        <v>223</v>
      </c>
      <c r="O33">
        <v>6</v>
      </c>
      <c r="P33">
        <v>6</v>
      </c>
      <c r="Q33" s="219">
        <v>6</v>
      </c>
      <c r="R33">
        <v>6</v>
      </c>
      <c r="S33">
        <v>6</v>
      </c>
      <c r="T33" s="219">
        <v>6</v>
      </c>
      <c r="U33">
        <v>5</v>
      </c>
      <c r="V33">
        <v>5</v>
      </c>
      <c r="W33">
        <v>3</v>
      </c>
      <c r="X33">
        <v>4</v>
      </c>
      <c r="Y33">
        <v>7</v>
      </c>
      <c r="Z33">
        <v>7</v>
      </c>
      <c r="AA33">
        <v>2</v>
      </c>
      <c r="AB33">
        <v>2</v>
      </c>
      <c r="AC33" t="s">
        <v>41</v>
      </c>
      <c r="AD33" t="s">
        <v>41</v>
      </c>
      <c r="AE33" t="s">
        <v>41</v>
      </c>
      <c r="AF33" t="s">
        <v>41</v>
      </c>
      <c r="AG33" t="s">
        <v>41</v>
      </c>
      <c r="AH33" t="s">
        <v>41</v>
      </c>
      <c r="AI33">
        <v>6</v>
      </c>
      <c r="AJ33">
        <v>6</v>
      </c>
      <c r="AK33" t="s">
        <v>41</v>
      </c>
      <c r="AL33" t="s">
        <v>41</v>
      </c>
      <c r="AM33" t="s">
        <v>41</v>
      </c>
      <c r="AN33" t="s">
        <v>41</v>
      </c>
      <c r="AO33" t="s">
        <v>41</v>
      </c>
      <c r="AP33" t="s">
        <v>41</v>
      </c>
      <c r="AQ33" t="s">
        <v>41</v>
      </c>
      <c r="AR33" s="219" t="s">
        <v>41</v>
      </c>
      <c r="AS33" t="s">
        <v>1</v>
      </c>
      <c r="AT33">
        <v>5</v>
      </c>
      <c r="AU33" s="11">
        <v>0.43</v>
      </c>
      <c r="AV33" s="85" t="s">
        <v>41</v>
      </c>
      <c r="AW33" s="219">
        <v>0</v>
      </c>
      <c r="AX33" s="6">
        <f t="shared" si="6"/>
        <v>6.75</v>
      </c>
      <c r="AY33" s="9" t="str">
        <f t="shared" si="7"/>
        <v>GoodReg</v>
      </c>
      <c r="AZ33" s="9">
        <f t="shared" si="8"/>
        <v>6.75</v>
      </c>
      <c r="BA33" s="9" t="str">
        <f t="shared" si="9"/>
        <v>GoodReg</v>
      </c>
      <c r="BB33" s="9">
        <f t="shared" si="10"/>
        <v>6.75</v>
      </c>
      <c r="BC33" s="9" t="str">
        <f t="shared" si="11"/>
        <v>GoodReg</v>
      </c>
      <c r="BD33" s="84">
        <f t="shared" si="12"/>
        <v>5</v>
      </c>
      <c r="BE33" s="83">
        <f t="shared" si="13"/>
        <v>2</v>
      </c>
      <c r="BF33" t="str">
        <f t="shared" si="14"/>
        <v/>
      </c>
      <c r="BG33" s="91" t="e">
        <f>IF(O33="-","-",VLOOKUP($E33,CTPit!$E$10:$AW$175,BG$9,FALSE)-O33)</f>
        <v>#N/A</v>
      </c>
      <c r="BH33" s="91" t="e">
        <f>IF(P33="-","-",VLOOKUP($E33,CTPit!$E$10:$AW$175,BH$9,FALSE)-P33)</f>
        <v>#N/A</v>
      </c>
      <c r="BI33" s="91" t="e">
        <f>IF(Q33="-","-",VLOOKUP($E33,CTPit!$E$10:$AW$175,BI$9,FALSE)-Q33)</f>
        <v>#N/A</v>
      </c>
      <c r="BJ33" s="91" t="e">
        <f>IF(R33="-","-",VLOOKUP($E33,CTPit!$E$10:$AW$175,BJ$9,FALSE)-R33)</f>
        <v>#N/A</v>
      </c>
      <c r="BK33" s="91" t="e">
        <f>IF(S33="-","-",VLOOKUP($E33,CTPit!$E$10:$AW$175,BK$9,FALSE)-S33)</f>
        <v>#N/A</v>
      </c>
      <c r="BL33" s="91" t="e">
        <f>IF(T33="-","-",VLOOKUP($E33,CTPit!$E$10:$AW$175,BL$9,FALSE)-T33)</f>
        <v>#N/A</v>
      </c>
      <c r="BM33" s="91" t="e">
        <f>IF(U33="-","-",VLOOKUP($E33,CTPit!$E$10:$AW$175,BM$9,FALSE)-U33)</f>
        <v>#N/A</v>
      </c>
      <c r="BN33" s="91" t="e">
        <f>IF(V33="-","-",VLOOKUP($E33,CTPit!$E$10:$AW$175,BN$9,FALSE)-V33)</f>
        <v>#N/A</v>
      </c>
      <c r="BO33" s="91" t="e">
        <f>IF(W33="-","-",VLOOKUP($E33,CTPit!$E$10:$AW$175,BO$9,FALSE)-W33)</f>
        <v>#N/A</v>
      </c>
      <c r="BP33" s="91" t="e">
        <f>IF(X33="-","-",VLOOKUP($E33,CTPit!$E$10:$AW$175,BP$9,FALSE)-X33)</f>
        <v>#N/A</v>
      </c>
      <c r="BQ33" s="91" t="e">
        <f>IF(Y33="-","-",VLOOKUP($E33,CTPit!$E$10:$AW$175,BQ$9,FALSE)-Y33)</f>
        <v>#N/A</v>
      </c>
      <c r="BR33" s="91" t="e">
        <f>IF(Z33="-","-",VLOOKUP($E33,CTPit!$E$10:$AW$175,BR$9,FALSE)-Z33)</f>
        <v>#N/A</v>
      </c>
      <c r="BS33" s="91" t="e">
        <f>IF(AA33="-","-",VLOOKUP($E33,CTPit!$E$10:$AW$175,BS$9,FALSE)-AA33)</f>
        <v>#N/A</v>
      </c>
      <c r="BT33" s="91" t="e">
        <f>IF(AB33="-","-",VLOOKUP($E33,CTPit!$E$10:$AW$175,BT$9,FALSE)-AB33)</f>
        <v>#N/A</v>
      </c>
      <c r="BU33" s="91" t="str">
        <f>IF(AC33="-","-",VLOOKUP($E33,CTPit!$E$10:$AW$175,BU$9,FALSE)-AC33)</f>
        <v>-</v>
      </c>
      <c r="BV33" s="91" t="str">
        <f>IF(AD33="-","-",VLOOKUP($E33,CTPit!$E$10:$AW$175,BV$9,FALSE)-AD33)</f>
        <v>-</v>
      </c>
      <c r="BW33" s="91" t="str">
        <f>IF(AE33="-","-",VLOOKUP($E33,CTPit!$E$10:$AW$175,BW$9,FALSE)-AE33)</f>
        <v>-</v>
      </c>
      <c r="BX33" s="91" t="str">
        <f>IF(AF33="-","-",VLOOKUP($E33,CTPit!$E$10:$AW$175,BX$9,FALSE)-AF33)</f>
        <v>-</v>
      </c>
      <c r="BY33" s="91" t="str">
        <f>IF(AG33="-","-",VLOOKUP($E33,CTPit!$E$10:$AW$175,BY$9,FALSE)-AG33)</f>
        <v>-</v>
      </c>
      <c r="BZ33" s="91" t="str">
        <f>IF(AH33="-","-",VLOOKUP($E33,CTPit!$E$10:$AW$175,BZ$9,FALSE)-AH33)</f>
        <v>-</v>
      </c>
      <c r="CA33" s="91" t="e">
        <f>IF(AI33="-","-",VLOOKUP($E33,CTPit!$E$10:$AW$175,CA$9,FALSE)-AI33)</f>
        <v>#N/A</v>
      </c>
      <c r="CB33" s="91" t="e">
        <f>IF(AJ33="-","-",VLOOKUP($E33,CTPit!$E$10:$AW$175,CB$9,FALSE)-AJ33)</f>
        <v>#N/A</v>
      </c>
      <c r="CC33" s="91" t="str">
        <f>IF(AK33="-","-",VLOOKUP($E33,CTPit!$E$10:$AW$175,CC$9,FALSE)-AK33)</f>
        <v>-</v>
      </c>
      <c r="CD33" s="91" t="str">
        <f>IF(AL33="-","-",VLOOKUP($E33,CTPit!$E$10:$AW$175,CD$9,FALSE)-AL33)</f>
        <v>-</v>
      </c>
      <c r="CE33" s="91" t="str">
        <f>IF(AM33="-","-",VLOOKUP($E33,CTPit!$E$10:$AW$175,CE$9,FALSE)-AM33)</f>
        <v>-</v>
      </c>
      <c r="CF33" s="91" t="str">
        <f>IF(AN33="-","-",VLOOKUP($E33,CTPit!$E$10:$AW$175,CF$9,FALSE)-AN33)</f>
        <v>-</v>
      </c>
      <c r="CG33" s="91" t="str">
        <f>IF(AO33="-","-",VLOOKUP($E33,CTPit!$E$10:$AW$175,CG$9,FALSE)-AO33)</f>
        <v>-</v>
      </c>
      <c r="CH33" s="91" t="str">
        <f>IF(AP33="-","-",VLOOKUP($E33,CTPit!$E$10:$AW$175,CH$9,FALSE)-AP33)</f>
        <v>-</v>
      </c>
      <c r="CI33" s="91" t="str">
        <f>IF(AQ33="-","-",VLOOKUP($E33,CTPit!$E$10:$AW$175,CI$9,FALSE)-AQ33)</f>
        <v>-</v>
      </c>
      <c r="CJ33" s="91" t="str">
        <f>IF(AR33="-","-",VLOOKUP($E33,CTPit!$E$10:$AW$175,CJ$9,FALSE)-AR33)</f>
        <v>-</v>
      </c>
      <c r="CK33" t="e">
        <f t="shared" si="15"/>
        <v>#N/A</v>
      </c>
    </row>
    <row r="34" spans="3:89">
      <c r="C34" t="str">
        <f t="shared" si="5"/>
        <v>K</v>
      </c>
      <c r="D34" t="s">
        <v>107</v>
      </c>
      <c r="E34" t="s">
        <v>17</v>
      </c>
      <c r="F34" t="s">
        <v>25</v>
      </c>
      <c r="G34" t="s">
        <v>207</v>
      </c>
      <c r="H34">
        <v>25</v>
      </c>
      <c r="I34" t="s">
        <v>104</v>
      </c>
      <c r="J34" s="219" t="s">
        <v>103</v>
      </c>
      <c r="K34" t="s">
        <v>42</v>
      </c>
      <c r="L34" t="s">
        <v>40</v>
      </c>
      <c r="M34" t="s">
        <v>225</v>
      </c>
      <c r="N34" s="219" t="s">
        <v>224</v>
      </c>
      <c r="O34">
        <v>6</v>
      </c>
      <c r="P34">
        <v>7</v>
      </c>
      <c r="Q34" s="219">
        <v>6</v>
      </c>
      <c r="R34">
        <v>6</v>
      </c>
      <c r="S34">
        <v>7</v>
      </c>
      <c r="T34" s="219">
        <v>6</v>
      </c>
      <c r="U34">
        <v>7</v>
      </c>
      <c r="V34">
        <v>7</v>
      </c>
      <c r="W34" t="s">
        <v>41</v>
      </c>
      <c r="X34" t="s">
        <v>41</v>
      </c>
      <c r="Y34" t="s">
        <v>41</v>
      </c>
      <c r="Z34" t="s">
        <v>41</v>
      </c>
      <c r="AA34" t="s">
        <v>41</v>
      </c>
      <c r="AB34" t="s">
        <v>41</v>
      </c>
      <c r="AC34" t="s">
        <v>41</v>
      </c>
      <c r="AD34" t="s">
        <v>41</v>
      </c>
      <c r="AE34">
        <v>7</v>
      </c>
      <c r="AF34">
        <v>7</v>
      </c>
      <c r="AG34" t="s">
        <v>41</v>
      </c>
      <c r="AH34" t="s">
        <v>41</v>
      </c>
      <c r="AI34" t="s">
        <v>41</v>
      </c>
      <c r="AJ34" t="s">
        <v>41</v>
      </c>
      <c r="AK34" t="s">
        <v>41</v>
      </c>
      <c r="AL34" t="s">
        <v>41</v>
      </c>
      <c r="AM34" t="s">
        <v>41</v>
      </c>
      <c r="AN34" t="s">
        <v>41</v>
      </c>
      <c r="AO34" t="s">
        <v>41</v>
      </c>
      <c r="AP34" t="s">
        <v>41</v>
      </c>
      <c r="AQ34" t="s">
        <v>41</v>
      </c>
      <c r="AR34" s="219" t="s">
        <v>41</v>
      </c>
      <c r="AS34" t="s">
        <v>3</v>
      </c>
      <c r="AT34">
        <v>1</v>
      </c>
      <c r="AU34" s="11">
        <v>0.51</v>
      </c>
      <c r="AV34" s="85">
        <v>490000</v>
      </c>
      <c r="AW34" s="219" t="s">
        <v>45</v>
      </c>
      <c r="AX34" s="6">
        <f t="shared" si="6"/>
        <v>6.583333333333333</v>
      </c>
      <c r="AY34" s="9" t="str">
        <f t="shared" si="7"/>
        <v>GoodReg</v>
      </c>
      <c r="AZ34" s="9">
        <f t="shared" si="8"/>
        <v>6.583333333333333</v>
      </c>
      <c r="BA34" s="9" t="str">
        <f t="shared" si="9"/>
        <v>GoodReg</v>
      </c>
      <c r="BB34" s="9">
        <f t="shared" si="10"/>
        <v>6.583333333333333</v>
      </c>
      <c r="BC34" s="9" t="str">
        <f t="shared" si="11"/>
        <v>GoodReg</v>
      </c>
      <c r="BD34" s="84">
        <f t="shared" si="12"/>
        <v>2</v>
      </c>
      <c r="BE34" s="83">
        <f t="shared" si="13"/>
        <v>2</v>
      </c>
      <c r="BF34" t="str">
        <f t="shared" si="14"/>
        <v/>
      </c>
      <c r="BG34" s="91">
        <f>IF(O34="-","-",VLOOKUP($E34,CTPit!$E$10:$AW$175,BG$9,FALSE)-O34)</f>
        <v>1</v>
      </c>
      <c r="BH34" s="91">
        <f>IF(P34="-","-",VLOOKUP($E34,CTPit!$E$10:$AW$175,BH$9,FALSE)-P34)</f>
        <v>0</v>
      </c>
      <c r="BI34" s="91">
        <f>IF(Q34="-","-",VLOOKUP($E34,CTPit!$E$10:$AW$175,BI$9,FALSE)-Q34)</f>
        <v>0</v>
      </c>
      <c r="BJ34" s="91">
        <f>IF(R34="-","-",VLOOKUP($E34,CTPit!$E$10:$AW$175,BJ$9,FALSE)-R34)</f>
        <v>1</v>
      </c>
      <c r="BK34" s="91">
        <f>IF(S34="-","-",VLOOKUP($E34,CTPit!$E$10:$AW$175,BK$9,FALSE)-S34)</f>
        <v>0</v>
      </c>
      <c r="BL34" s="91">
        <f>IF(T34="-","-",VLOOKUP($E34,CTPit!$E$10:$AW$175,BL$9,FALSE)-T34)</f>
        <v>1</v>
      </c>
      <c r="BM34" s="91">
        <f>IF(U34="-","-",VLOOKUP($E34,CTPit!$E$10:$AW$175,BM$9,FALSE)-U34)</f>
        <v>0</v>
      </c>
      <c r="BN34" s="91">
        <f>IF(V34="-","-",VLOOKUP($E34,CTPit!$E$10:$AW$175,BN$9,FALSE)-V34)</f>
        <v>0</v>
      </c>
      <c r="BO34" s="91" t="str">
        <f>IF(W34="-","-",VLOOKUP($E34,CTPit!$E$10:$AW$175,BO$9,FALSE)-W34)</f>
        <v>-</v>
      </c>
      <c r="BP34" s="91" t="str">
        <f>IF(X34="-","-",VLOOKUP($E34,CTPit!$E$10:$AW$175,BP$9,FALSE)-X34)</f>
        <v>-</v>
      </c>
      <c r="BQ34" s="91" t="str">
        <f>IF(Y34="-","-",VLOOKUP($E34,CTPit!$E$10:$AW$175,BQ$9,FALSE)-Y34)</f>
        <v>-</v>
      </c>
      <c r="BR34" s="91" t="str">
        <f>IF(Z34="-","-",VLOOKUP($E34,CTPit!$E$10:$AW$175,BR$9,FALSE)-Z34)</f>
        <v>-</v>
      </c>
      <c r="BS34" s="91" t="str">
        <f>IF(AA34="-","-",VLOOKUP($E34,CTPit!$E$10:$AW$175,BS$9,FALSE)-AA34)</f>
        <v>-</v>
      </c>
      <c r="BT34" s="91" t="str">
        <f>IF(AB34="-","-",VLOOKUP($E34,CTPit!$E$10:$AW$175,BT$9,FALSE)-AB34)</f>
        <v>-</v>
      </c>
      <c r="BU34" s="91" t="str">
        <f>IF(AC34="-","-",VLOOKUP($E34,CTPit!$E$10:$AW$175,BU$9,FALSE)-AC34)</f>
        <v>-</v>
      </c>
      <c r="BV34" s="91" t="str">
        <f>IF(AD34="-","-",VLOOKUP($E34,CTPit!$E$10:$AW$175,BV$9,FALSE)-AD34)</f>
        <v>-</v>
      </c>
      <c r="BW34" s="91">
        <f>IF(AE34="-","-",VLOOKUP($E34,CTPit!$E$10:$AW$175,BW$9,FALSE)-AE34)</f>
        <v>0</v>
      </c>
      <c r="BX34" s="91">
        <f>IF(AF34="-","-",VLOOKUP($E34,CTPit!$E$10:$AW$175,BX$9,FALSE)-AF34)</f>
        <v>0</v>
      </c>
      <c r="BY34" s="91" t="str">
        <f>IF(AG34="-","-",VLOOKUP($E34,CTPit!$E$10:$AW$175,BY$9,FALSE)-AG34)</f>
        <v>-</v>
      </c>
      <c r="BZ34" s="91" t="str">
        <f>IF(AH34="-","-",VLOOKUP($E34,CTPit!$E$10:$AW$175,BZ$9,FALSE)-AH34)</f>
        <v>-</v>
      </c>
      <c r="CA34" s="91" t="str">
        <f>IF(AI34="-","-",VLOOKUP($E34,CTPit!$E$10:$AW$175,CA$9,FALSE)-AI34)</f>
        <v>-</v>
      </c>
      <c r="CB34" s="91" t="str">
        <f>IF(AJ34="-","-",VLOOKUP($E34,CTPit!$E$10:$AW$175,CB$9,FALSE)-AJ34)</f>
        <v>-</v>
      </c>
      <c r="CC34" s="91" t="str">
        <f>IF(AK34="-","-",VLOOKUP($E34,CTPit!$E$10:$AW$175,CC$9,FALSE)-AK34)</f>
        <v>-</v>
      </c>
      <c r="CD34" s="91" t="str">
        <f>IF(AL34="-","-",VLOOKUP($E34,CTPit!$E$10:$AW$175,CD$9,FALSE)-AL34)</f>
        <v>-</v>
      </c>
      <c r="CE34" s="91" t="str">
        <f>IF(AM34="-","-",VLOOKUP($E34,CTPit!$E$10:$AW$175,CE$9,FALSE)-AM34)</f>
        <v>-</v>
      </c>
      <c r="CF34" s="91" t="str">
        <f>IF(AN34="-","-",VLOOKUP($E34,CTPit!$E$10:$AW$175,CF$9,FALSE)-AN34)</f>
        <v>-</v>
      </c>
      <c r="CG34" s="91" t="str">
        <f>IF(AO34="-","-",VLOOKUP($E34,CTPit!$E$10:$AW$175,CG$9,FALSE)-AO34)</f>
        <v>-</v>
      </c>
      <c r="CH34" s="91" t="str">
        <f>IF(AP34="-","-",VLOOKUP($E34,CTPit!$E$10:$AW$175,CH$9,FALSE)-AP34)</f>
        <v>-</v>
      </c>
      <c r="CI34" s="91" t="str">
        <f>IF(AQ34="-","-",VLOOKUP($E34,CTPit!$E$10:$AW$175,CI$9,FALSE)-AQ34)</f>
        <v>-</v>
      </c>
      <c r="CJ34" s="91" t="str">
        <f>IF(AR34="-","-",VLOOKUP($E34,CTPit!$E$10:$AW$175,CJ$9,FALSE)-AR34)</f>
        <v>-</v>
      </c>
      <c r="CK34">
        <f t="shared" si="15"/>
        <v>3</v>
      </c>
    </row>
    <row r="35" spans="3:89">
      <c r="C35" t="str">
        <f t="shared" si="5"/>
        <v>K</v>
      </c>
      <c r="D35" t="s">
        <v>107</v>
      </c>
      <c r="E35" t="s">
        <v>9</v>
      </c>
      <c r="F35" t="s">
        <v>371</v>
      </c>
      <c r="G35" t="s">
        <v>208</v>
      </c>
      <c r="H35">
        <v>24</v>
      </c>
      <c r="I35" t="s">
        <v>104</v>
      </c>
      <c r="J35" s="219" t="s">
        <v>104</v>
      </c>
      <c r="K35" t="s">
        <v>42</v>
      </c>
      <c r="L35" t="s">
        <v>40</v>
      </c>
      <c r="M35" t="s">
        <v>224</v>
      </c>
      <c r="N35" s="219" t="s">
        <v>227</v>
      </c>
      <c r="O35">
        <v>7</v>
      </c>
      <c r="P35">
        <v>7</v>
      </c>
      <c r="Q35" s="219">
        <v>4</v>
      </c>
      <c r="R35">
        <v>7</v>
      </c>
      <c r="S35">
        <v>7</v>
      </c>
      <c r="T35" s="219">
        <v>4</v>
      </c>
      <c r="U35">
        <v>8</v>
      </c>
      <c r="V35">
        <v>8</v>
      </c>
      <c r="W35" t="s">
        <v>41</v>
      </c>
      <c r="X35" t="s">
        <v>41</v>
      </c>
      <c r="Y35" t="s">
        <v>41</v>
      </c>
      <c r="Z35" t="s">
        <v>41</v>
      </c>
      <c r="AA35">
        <v>7</v>
      </c>
      <c r="AB35">
        <v>7</v>
      </c>
      <c r="AC35" t="s">
        <v>41</v>
      </c>
      <c r="AD35" t="s">
        <v>41</v>
      </c>
      <c r="AE35" t="s">
        <v>41</v>
      </c>
      <c r="AF35" t="s">
        <v>41</v>
      </c>
      <c r="AG35" t="s">
        <v>41</v>
      </c>
      <c r="AH35" t="s">
        <v>41</v>
      </c>
      <c r="AI35" t="s">
        <v>41</v>
      </c>
      <c r="AJ35" t="s">
        <v>41</v>
      </c>
      <c r="AK35" t="s">
        <v>41</v>
      </c>
      <c r="AL35" t="s">
        <v>41</v>
      </c>
      <c r="AM35" t="s">
        <v>41</v>
      </c>
      <c r="AN35" t="s">
        <v>41</v>
      </c>
      <c r="AO35" t="s">
        <v>41</v>
      </c>
      <c r="AP35" t="s">
        <v>41</v>
      </c>
      <c r="AQ35" t="s">
        <v>41</v>
      </c>
      <c r="AR35" s="219" t="s">
        <v>41</v>
      </c>
      <c r="AS35" t="s">
        <v>242</v>
      </c>
      <c r="AT35">
        <v>1</v>
      </c>
      <c r="AU35" s="11">
        <v>0.66</v>
      </c>
      <c r="AV35" s="85">
        <v>490000</v>
      </c>
      <c r="AW35" s="219" t="s">
        <v>45</v>
      </c>
      <c r="AX35" s="6">
        <f t="shared" si="6"/>
        <v>6.5</v>
      </c>
      <c r="AY35" s="9" t="str">
        <f t="shared" si="7"/>
        <v>Reg</v>
      </c>
      <c r="AZ35" s="9">
        <f t="shared" si="8"/>
        <v>6.5</v>
      </c>
      <c r="BA35" s="9" t="str">
        <f t="shared" si="9"/>
        <v>Reg</v>
      </c>
      <c r="BB35" s="9">
        <f t="shared" si="10"/>
        <v>6.5</v>
      </c>
      <c r="BC35" s="9" t="str">
        <f t="shared" si="11"/>
        <v>Reg</v>
      </c>
      <c r="BD35" s="84">
        <f t="shared" si="12"/>
        <v>2</v>
      </c>
      <c r="BE35" s="83">
        <f t="shared" si="13"/>
        <v>2</v>
      </c>
      <c r="BF35" t="str">
        <f t="shared" si="14"/>
        <v/>
      </c>
      <c r="BG35" s="91">
        <f>IF(O35="-","-",VLOOKUP($E35,CTPit!$E$10:$AW$175,BG$9,FALSE)-O35)</f>
        <v>0</v>
      </c>
      <c r="BH35" s="91">
        <f>IF(P35="-","-",VLOOKUP($E35,CTPit!$E$10:$AW$175,BH$9,FALSE)-P35)</f>
        <v>0</v>
      </c>
      <c r="BI35" s="91">
        <f>IF(Q35="-","-",VLOOKUP($E35,CTPit!$E$10:$AW$175,BI$9,FALSE)-Q35)</f>
        <v>0</v>
      </c>
      <c r="BJ35" s="91">
        <f>IF(R35="-","-",VLOOKUP($E35,CTPit!$E$10:$AW$175,BJ$9,FALSE)-R35)</f>
        <v>0</v>
      </c>
      <c r="BK35" s="91">
        <f>IF(S35="-","-",VLOOKUP($E35,CTPit!$E$10:$AW$175,BK$9,FALSE)-S35)</f>
        <v>0</v>
      </c>
      <c r="BL35" s="91">
        <f>IF(T35="-","-",VLOOKUP($E35,CTPit!$E$10:$AW$175,BL$9,FALSE)-T35)</f>
        <v>0</v>
      </c>
      <c r="BM35" s="91">
        <f>IF(U35="-","-",VLOOKUP($E35,CTPit!$E$10:$AW$175,BM$9,FALSE)-U35)</f>
        <v>0</v>
      </c>
      <c r="BN35" s="91">
        <f>IF(V35="-","-",VLOOKUP($E35,CTPit!$E$10:$AW$175,BN$9,FALSE)-V35)</f>
        <v>0</v>
      </c>
      <c r="BO35" s="91" t="str">
        <f>IF(W35="-","-",VLOOKUP($E35,CTPit!$E$10:$AW$175,BO$9,FALSE)-W35)</f>
        <v>-</v>
      </c>
      <c r="BP35" s="91" t="str">
        <f>IF(X35="-","-",VLOOKUP($E35,CTPit!$E$10:$AW$175,BP$9,FALSE)-X35)</f>
        <v>-</v>
      </c>
      <c r="BQ35" s="91" t="str">
        <f>IF(Y35="-","-",VLOOKUP($E35,CTPit!$E$10:$AW$175,BQ$9,FALSE)-Y35)</f>
        <v>-</v>
      </c>
      <c r="BR35" s="91" t="str">
        <f>IF(Z35="-","-",VLOOKUP($E35,CTPit!$E$10:$AW$175,BR$9,FALSE)-Z35)</f>
        <v>-</v>
      </c>
      <c r="BS35" s="91">
        <f>IF(AA35="-","-",VLOOKUP($E35,CTPit!$E$10:$AW$175,BS$9,FALSE)-AA35)</f>
        <v>0</v>
      </c>
      <c r="BT35" s="91">
        <f>IF(AB35="-","-",VLOOKUP($E35,CTPit!$E$10:$AW$175,BT$9,FALSE)-AB35)</f>
        <v>0</v>
      </c>
      <c r="BU35" s="91" t="str">
        <f>IF(AC35="-","-",VLOOKUP($E35,CTPit!$E$10:$AW$175,BU$9,FALSE)-AC35)</f>
        <v>-</v>
      </c>
      <c r="BV35" s="91" t="str">
        <f>IF(AD35="-","-",VLOOKUP($E35,CTPit!$E$10:$AW$175,BV$9,FALSE)-AD35)</f>
        <v>-</v>
      </c>
      <c r="BW35" s="91" t="str">
        <f>IF(AE35="-","-",VLOOKUP($E35,CTPit!$E$10:$AW$175,BW$9,FALSE)-AE35)</f>
        <v>-</v>
      </c>
      <c r="BX35" s="91" t="str">
        <f>IF(AF35="-","-",VLOOKUP($E35,CTPit!$E$10:$AW$175,BX$9,FALSE)-AF35)</f>
        <v>-</v>
      </c>
      <c r="BY35" s="91" t="str">
        <f>IF(AG35="-","-",VLOOKUP($E35,CTPit!$E$10:$AW$175,BY$9,FALSE)-AG35)</f>
        <v>-</v>
      </c>
      <c r="BZ35" s="91" t="str">
        <f>IF(AH35="-","-",VLOOKUP($E35,CTPit!$E$10:$AW$175,BZ$9,FALSE)-AH35)</f>
        <v>-</v>
      </c>
      <c r="CA35" s="91" t="str">
        <f>IF(AI35="-","-",VLOOKUP($E35,CTPit!$E$10:$AW$175,CA$9,FALSE)-AI35)</f>
        <v>-</v>
      </c>
      <c r="CB35" s="91" t="str">
        <f>IF(AJ35="-","-",VLOOKUP($E35,CTPit!$E$10:$AW$175,CB$9,FALSE)-AJ35)</f>
        <v>-</v>
      </c>
      <c r="CC35" s="91" t="str">
        <f>IF(AK35="-","-",VLOOKUP($E35,CTPit!$E$10:$AW$175,CC$9,FALSE)-AK35)</f>
        <v>-</v>
      </c>
      <c r="CD35" s="91" t="str">
        <f>IF(AL35="-","-",VLOOKUP($E35,CTPit!$E$10:$AW$175,CD$9,FALSE)-AL35)</f>
        <v>-</v>
      </c>
      <c r="CE35" s="91" t="str">
        <f>IF(AM35="-","-",VLOOKUP($E35,CTPit!$E$10:$AW$175,CE$9,FALSE)-AM35)</f>
        <v>-</v>
      </c>
      <c r="CF35" s="91" t="str">
        <f>IF(AN35="-","-",VLOOKUP($E35,CTPit!$E$10:$AW$175,CF$9,FALSE)-AN35)</f>
        <v>-</v>
      </c>
      <c r="CG35" s="91" t="str">
        <f>IF(AO35="-","-",VLOOKUP($E35,CTPit!$E$10:$AW$175,CG$9,FALSE)-AO35)</f>
        <v>-</v>
      </c>
      <c r="CH35" s="91" t="str">
        <f>IF(AP35="-","-",VLOOKUP($E35,CTPit!$E$10:$AW$175,CH$9,FALSE)-AP35)</f>
        <v>-</v>
      </c>
      <c r="CI35" s="91" t="str">
        <f>IF(AQ35="-","-",VLOOKUP($E35,CTPit!$E$10:$AW$175,CI$9,FALSE)-AQ35)</f>
        <v>-</v>
      </c>
      <c r="CJ35" s="91" t="str">
        <f>IF(AR35="-","-",VLOOKUP($E35,CTPit!$E$10:$AW$175,CJ$9,FALSE)-AR35)</f>
        <v>-</v>
      </c>
      <c r="CK35">
        <f t="shared" si="15"/>
        <v>0</v>
      </c>
    </row>
    <row r="36" spans="3:89">
      <c r="C36" t="str">
        <f t="shared" si="5"/>
        <v>K</v>
      </c>
      <c r="D36" t="s">
        <v>108</v>
      </c>
      <c r="E36" t="s">
        <v>512</v>
      </c>
      <c r="F36" t="s">
        <v>371</v>
      </c>
      <c r="G36" t="s">
        <v>208</v>
      </c>
      <c r="H36">
        <v>27</v>
      </c>
      <c r="I36" t="s">
        <v>104</v>
      </c>
      <c r="J36" s="219" t="s">
        <v>104</v>
      </c>
      <c r="K36" t="s">
        <v>42</v>
      </c>
      <c r="L36" t="s">
        <v>42</v>
      </c>
      <c r="M36" t="s">
        <v>225</v>
      </c>
      <c r="N36" s="219" t="s">
        <v>225</v>
      </c>
      <c r="O36">
        <v>5</v>
      </c>
      <c r="P36">
        <v>7</v>
      </c>
      <c r="Q36" s="219">
        <v>5</v>
      </c>
      <c r="R36">
        <v>5</v>
      </c>
      <c r="S36">
        <v>7</v>
      </c>
      <c r="T36" s="219">
        <v>5</v>
      </c>
      <c r="U36">
        <v>6</v>
      </c>
      <c r="V36">
        <v>6</v>
      </c>
      <c r="W36">
        <v>5</v>
      </c>
      <c r="X36">
        <v>5</v>
      </c>
      <c r="Y36" t="s">
        <v>41</v>
      </c>
      <c r="Z36" t="s">
        <v>41</v>
      </c>
      <c r="AA36">
        <v>5</v>
      </c>
      <c r="AB36">
        <v>5</v>
      </c>
      <c r="AC36">
        <v>6</v>
      </c>
      <c r="AD36">
        <v>6</v>
      </c>
      <c r="AE36" t="s">
        <v>41</v>
      </c>
      <c r="AF36" t="s">
        <v>41</v>
      </c>
      <c r="AG36" t="s">
        <v>41</v>
      </c>
      <c r="AH36" t="s">
        <v>41</v>
      </c>
      <c r="AI36" t="s">
        <v>41</v>
      </c>
      <c r="AJ36" t="s">
        <v>41</v>
      </c>
      <c r="AK36" t="s">
        <v>41</v>
      </c>
      <c r="AL36" t="s">
        <v>41</v>
      </c>
      <c r="AM36" t="s">
        <v>41</v>
      </c>
      <c r="AN36" t="s">
        <v>41</v>
      </c>
      <c r="AO36" t="s">
        <v>41</v>
      </c>
      <c r="AP36" t="s">
        <v>41</v>
      </c>
      <c r="AQ36" t="s">
        <v>41</v>
      </c>
      <c r="AR36" s="219" t="s">
        <v>41</v>
      </c>
      <c r="AS36" t="s">
        <v>2</v>
      </c>
      <c r="AT36">
        <v>9</v>
      </c>
      <c r="AU36" s="11">
        <v>0.6</v>
      </c>
      <c r="AV36" s="85" t="s">
        <v>41</v>
      </c>
      <c r="AW36" s="219">
        <v>0</v>
      </c>
      <c r="AX36" s="6">
        <f t="shared" si="6"/>
        <v>6.416666666666667</v>
      </c>
      <c r="AY36" s="9" t="str">
        <f t="shared" si="7"/>
        <v>Reg</v>
      </c>
      <c r="AZ36" s="9">
        <f t="shared" si="8"/>
        <v>6.416666666666667</v>
      </c>
      <c r="BA36" s="9" t="str">
        <f t="shared" si="9"/>
        <v>Reg</v>
      </c>
      <c r="BB36" s="9">
        <f t="shared" si="10"/>
        <v>6.416666666666667</v>
      </c>
      <c r="BC36" s="9" t="str">
        <f t="shared" si="11"/>
        <v>Reg</v>
      </c>
      <c r="BD36" s="84">
        <f t="shared" si="12"/>
        <v>4</v>
      </c>
      <c r="BE36" s="83">
        <f t="shared" si="13"/>
        <v>2</v>
      </c>
      <c r="BF36" t="str">
        <f t="shared" si="14"/>
        <v/>
      </c>
      <c r="BG36" s="91" t="e">
        <f>IF(O36="-","-",VLOOKUP($E36,CTPit!$E$10:$AW$175,BG$9,FALSE)-O36)</f>
        <v>#N/A</v>
      </c>
      <c r="BH36" s="91" t="e">
        <f>IF(P36="-","-",VLOOKUP($E36,CTPit!$E$10:$AW$175,BH$9,FALSE)-P36)</f>
        <v>#N/A</v>
      </c>
      <c r="BI36" s="91" t="e">
        <f>IF(Q36="-","-",VLOOKUP($E36,CTPit!$E$10:$AW$175,BI$9,FALSE)-Q36)</f>
        <v>#N/A</v>
      </c>
      <c r="BJ36" s="91" t="e">
        <f>IF(R36="-","-",VLOOKUP($E36,CTPit!$E$10:$AW$175,BJ$9,FALSE)-R36)</f>
        <v>#N/A</v>
      </c>
      <c r="BK36" s="91" t="e">
        <f>IF(S36="-","-",VLOOKUP($E36,CTPit!$E$10:$AW$175,BK$9,FALSE)-S36)</f>
        <v>#N/A</v>
      </c>
      <c r="BL36" s="91" t="e">
        <f>IF(T36="-","-",VLOOKUP($E36,CTPit!$E$10:$AW$175,BL$9,FALSE)-T36)</f>
        <v>#N/A</v>
      </c>
      <c r="BM36" s="91" t="e">
        <f>IF(U36="-","-",VLOOKUP($E36,CTPit!$E$10:$AW$175,BM$9,FALSE)-U36)</f>
        <v>#N/A</v>
      </c>
      <c r="BN36" s="91" t="e">
        <f>IF(V36="-","-",VLOOKUP($E36,CTPit!$E$10:$AW$175,BN$9,FALSE)-V36)</f>
        <v>#N/A</v>
      </c>
      <c r="BO36" s="91" t="e">
        <f>IF(W36="-","-",VLOOKUP($E36,CTPit!$E$10:$AW$175,BO$9,FALSE)-W36)</f>
        <v>#N/A</v>
      </c>
      <c r="BP36" s="91" t="e">
        <f>IF(X36="-","-",VLOOKUP($E36,CTPit!$E$10:$AW$175,BP$9,FALSE)-X36)</f>
        <v>#N/A</v>
      </c>
      <c r="BQ36" s="91" t="str">
        <f>IF(Y36="-","-",VLOOKUP($E36,CTPit!$E$10:$AW$175,BQ$9,FALSE)-Y36)</f>
        <v>-</v>
      </c>
      <c r="BR36" s="91" t="str">
        <f>IF(Z36="-","-",VLOOKUP($E36,CTPit!$E$10:$AW$175,BR$9,FALSE)-Z36)</f>
        <v>-</v>
      </c>
      <c r="BS36" s="91" t="e">
        <f>IF(AA36="-","-",VLOOKUP($E36,CTPit!$E$10:$AW$175,BS$9,FALSE)-AA36)</f>
        <v>#N/A</v>
      </c>
      <c r="BT36" s="91" t="e">
        <f>IF(AB36="-","-",VLOOKUP($E36,CTPit!$E$10:$AW$175,BT$9,FALSE)-AB36)</f>
        <v>#N/A</v>
      </c>
      <c r="BU36" s="91" t="e">
        <f>IF(AC36="-","-",VLOOKUP($E36,CTPit!$E$10:$AW$175,BU$9,FALSE)-AC36)</f>
        <v>#N/A</v>
      </c>
      <c r="BV36" s="91" t="e">
        <f>IF(AD36="-","-",VLOOKUP($E36,CTPit!$E$10:$AW$175,BV$9,FALSE)-AD36)</f>
        <v>#N/A</v>
      </c>
      <c r="BW36" s="91" t="str">
        <f>IF(AE36="-","-",VLOOKUP($E36,CTPit!$E$10:$AW$175,BW$9,FALSE)-AE36)</f>
        <v>-</v>
      </c>
      <c r="BX36" s="91" t="str">
        <f>IF(AF36="-","-",VLOOKUP($E36,CTPit!$E$10:$AW$175,BX$9,FALSE)-AF36)</f>
        <v>-</v>
      </c>
      <c r="BY36" s="91" t="str">
        <f>IF(AG36="-","-",VLOOKUP($E36,CTPit!$E$10:$AW$175,BY$9,FALSE)-AG36)</f>
        <v>-</v>
      </c>
      <c r="BZ36" s="91" t="str">
        <f>IF(AH36="-","-",VLOOKUP($E36,CTPit!$E$10:$AW$175,BZ$9,FALSE)-AH36)</f>
        <v>-</v>
      </c>
      <c r="CA36" s="91" t="str">
        <f>IF(AI36="-","-",VLOOKUP($E36,CTPit!$E$10:$AW$175,CA$9,FALSE)-AI36)</f>
        <v>-</v>
      </c>
      <c r="CB36" s="91" t="str">
        <f>IF(AJ36="-","-",VLOOKUP($E36,CTPit!$E$10:$AW$175,CB$9,FALSE)-AJ36)</f>
        <v>-</v>
      </c>
      <c r="CC36" s="91" t="str">
        <f>IF(AK36="-","-",VLOOKUP($E36,CTPit!$E$10:$AW$175,CC$9,FALSE)-AK36)</f>
        <v>-</v>
      </c>
      <c r="CD36" s="91" t="str">
        <f>IF(AL36="-","-",VLOOKUP($E36,CTPit!$E$10:$AW$175,CD$9,FALSE)-AL36)</f>
        <v>-</v>
      </c>
      <c r="CE36" s="91" t="str">
        <f>IF(AM36="-","-",VLOOKUP($E36,CTPit!$E$10:$AW$175,CE$9,FALSE)-AM36)</f>
        <v>-</v>
      </c>
      <c r="CF36" s="91" t="str">
        <f>IF(AN36="-","-",VLOOKUP($E36,CTPit!$E$10:$AW$175,CF$9,FALSE)-AN36)</f>
        <v>-</v>
      </c>
      <c r="CG36" s="91" t="str">
        <f>IF(AO36="-","-",VLOOKUP($E36,CTPit!$E$10:$AW$175,CG$9,FALSE)-AO36)</f>
        <v>-</v>
      </c>
      <c r="CH36" s="91" t="str">
        <f>IF(AP36="-","-",VLOOKUP($E36,CTPit!$E$10:$AW$175,CH$9,FALSE)-AP36)</f>
        <v>-</v>
      </c>
      <c r="CI36" s="91" t="str">
        <f>IF(AQ36="-","-",VLOOKUP($E36,CTPit!$E$10:$AW$175,CI$9,FALSE)-AQ36)</f>
        <v>-</v>
      </c>
      <c r="CJ36" s="91" t="str">
        <f>IF(AR36="-","-",VLOOKUP($E36,CTPit!$E$10:$AW$175,CJ$9,FALSE)-AR36)</f>
        <v>-</v>
      </c>
      <c r="CK36" t="e">
        <f t="shared" si="15"/>
        <v>#N/A</v>
      </c>
    </row>
    <row r="37" spans="3:89">
      <c r="C37" t="str">
        <f t="shared" si="5"/>
        <v>K</v>
      </c>
      <c r="D37" t="s">
        <v>107</v>
      </c>
      <c r="E37" t="s">
        <v>8</v>
      </c>
      <c r="F37" t="s">
        <v>373</v>
      </c>
      <c r="G37" t="s">
        <v>210</v>
      </c>
      <c r="H37">
        <v>27</v>
      </c>
      <c r="I37" t="s">
        <v>103</v>
      </c>
      <c r="J37" s="219" t="s">
        <v>103</v>
      </c>
      <c r="K37" t="s">
        <v>47</v>
      </c>
      <c r="L37" t="s">
        <v>42</v>
      </c>
      <c r="M37" t="s">
        <v>223</v>
      </c>
      <c r="N37" s="219" t="s">
        <v>224</v>
      </c>
      <c r="O37">
        <v>5</v>
      </c>
      <c r="P37">
        <v>8</v>
      </c>
      <c r="Q37" s="219">
        <v>2</v>
      </c>
      <c r="R37">
        <v>5</v>
      </c>
      <c r="S37">
        <v>8</v>
      </c>
      <c r="T37" s="219">
        <v>3</v>
      </c>
      <c r="U37">
        <v>5</v>
      </c>
      <c r="V37">
        <v>5</v>
      </c>
      <c r="W37">
        <v>4</v>
      </c>
      <c r="X37">
        <v>4</v>
      </c>
      <c r="Y37" t="s">
        <v>41</v>
      </c>
      <c r="Z37" t="s">
        <v>41</v>
      </c>
      <c r="AA37">
        <v>3</v>
      </c>
      <c r="AB37">
        <v>3</v>
      </c>
      <c r="AC37">
        <v>6</v>
      </c>
      <c r="AD37">
        <v>6</v>
      </c>
      <c r="AE37" t="s">
        <v>41</v>
      </c>
      <c r="AF37" t="s">
        <v>41</v>
      </c>
      <c r="AG37">
        <v>5</v>
      </c>
      <c r="AH37">
        <v>5</v>
      </c>
      <c r="AI37" t="s">
        <v>41</v>
      </c>
      <c r="AJ37" t="s">
        <v>41</v>
      </c>
      <c r="AK37">
        <v>5</v>
      </c>
      <c r="AL37">
        <v>5</v>
      </c>
      <c r="AM37" t="s">
        <v>41</v>
      </c>
      <c r="AN37" t="s">
        <v>41</v>
      </c>
      <c r="AO37" t="s">
        <v>41</v>
      </c>
      <c r="AP37" t="s">
        <v>41</v>
      </c>
      <c r="AQ37" t="s">
        <v>41</v>
      </c>
      <c r="AR37" s="219" t="s">
        <v>41</v>
      </c>
      <c r="AS37" t="s">
        <v>6</v>
      </c>
      <c r="AT37">
        <v>2</v>
      </c>
      <c r="AU37" s="11">
        <v>0.56999999999999995</v>
      </c>
      <c r="AV37" s="85" t="s">
        <v>41</v>
      </c>
      <c r="AW37" s="219">
        <v>0</v>
      </c>
      <c r="AX37" s="6">
        <f t="shared" si="6"/>
        <v>6.25</v>
      </c>
      <c r="AY37" s="9" t="str">
        <f t="shared" si="7"/>
        <v>Reg</v>
      </c>
      <c r="AZ37" s="9">
        <f t="shared" si="8"/>
        <v>6.583333333333333</v>
      </c>
      <c r="BA37" s="9" t="str">
        <f t="shared" si="9"/>
        <v>GoodReg</v>
      </c>
      <c r="BB37" s="9">
        <f t="shared" si="10"/>
        <v>6.583333333333333</v>
      </c>
      <c r="BC37" s="9" t="str">
        <f t="shared" si="11"/>
        <v>GoodReg</v>
      </c>
      <c r="BD37" s="84">
        <f t="shared" si="12"/>
        <v>6</v>
      </c>
      <c r="BE37" s="83">
        <f t="shared" si="13"/>
        <v>1</v>
      </c>
      <c r="BF37" t="str">
        <f t="shared" si="14"/>
        <v/>
      </c>
      <c r="BG37" s="91" t="e">
        <f>IF(O37="-","-",VLOOKUP($E37,CTPit!$E$10:$AW$175,BG$9,FALSE)-O37)</f>
        <v>#N/A</v>
      </c>
      <c r="BH37" s="91" t="e">
        <f>IF(P37="-","-",VLOOKUP($E37,CTPit!$E$10:$AW$175,BH$9,FALSE)-P37)</f>
        <v>#N/A</v>
      </c>
      <c r="BI37" s="91" t="e">
        <f>IF(Q37="-","-",VLOOKUP($E37,CTPit!$E$10:$AW$175,BI$9,FALSE)-Q37)</f>
        <v>#N/A</v>
      </c>
      <c r="BJ37" s="91" t="e">
        <f>IF(R37="-","-",VLOOKUP($E37,CTPit!$E$10:$AW$175,BJ$9,FALSE)-R37)</f>
        <v>#N/A</v>
      </c>
      <c r="BK37" s="91" t="e">
        <f>IF(S37="-","-",VLOOKUP($E37,CTPit!$E$10:$AW$175,BK$9,FALSE)-S37)</f>
        <v>#N/A</v>
      </c>
      <c r="BL37" s="91" t="e">
        <f>IF(T37="-","-",VLOOKUP($E37,CTPit!$E$10:$AW$175,BL$9,FALSE)-T37)</f>
        <v>#N/A</v>
      </c>
      <c r="BM37" s="91" t="e">
        <f>IF(U37="-","-",VLOOKUP($E37,CTPit!$E$10:$AW$175,BM$9,FALSE)-U37)</f>
        <v>#N/A</v>
      </c>
      <c r="BN37" s="91" t="e">
        <f>IF(V37="-","-",VLOOKUP($E37,CTPit!$E$10:$AW$175,BN$9,FALSE)-V37)</f>
        <v>#N/A</v>
      </c>
      <c r="BO37" s="91" t="e">
        <f>IF(W37="-","-",VLOOKUP($E37,CTPit!$E$10:$AW$175,BO$9,FALSE)-W37)</f>
        <v>#N/A</v>
      </c>
      <c r="BP37" s="91" t="e">
        <f>IF(X37="-","-",VLOOKUP($E37,CTPit!$E$10:$AW$175,BP$9,FALSE)-X37)</f>
        <v>#N/A</v>
      </c>
      <c r="BQ37" s="91" t="str">
        <f>IF(Y37="-","-",VLOOKUP($E37,CTPit!$E$10:$AW$175,BQ$9,FALSE)-Y37)</f>
        <v>-</v>
      </c>
      <c r="BR37" s="91" t="str">
        <f>IF(Z37="-","-",VLOOKUP($E37,CTPit!$E$10:$AW$175,BR$9,FALSE)-Z37)</f>
        <v>-</v>
      </c>
      <c r="BS37" s="91" t="e">
        <f>IF(AA37="-","-",VLOOKUP($E37,CTPit!$E$10:$AW$175,BS$9,FALSE)-AA37)</f>
        <v>#N/A</v>
      </c>
      <c r="BT37" s="91" t="e">
        <f>IF(AB37="-","-",VLOOKUP($E37,CTPit!$E$10:$AW$175,BT$9,FALSE)-AB37)</f>
        <v>#N/A</v>
      </c>
      <c r="BU37" s="91" t="e">
        <f>IF(AC37="-","-",VLOOKUP($E37,CTPit!$E$10:$AW$175,BU$9,FALSE)-AC37)</f>
        <v>#N/A</v>
      </c>
      <c r="BV37" s="91" t="e">
        <f>IF(AD37="-","-",VLOOKUP($E37,CTPit!$E$10:$AW$175,BV$9,FALSE)-AD37)</f>
        <v>#N/A</v>
      </c>
      <c r="BW37" s="91" t="str">
        <f>IF(AE37="-","-",VLOOKUP($E37,CTPit!$E$10:$AW$175,BW$9,FALSE)-AE37)</f>
        <v>-</v>
      </c>
      <c r="BX37" s="91" t="str">
        <f>IF(AF37="-","-",VLOOKUP($E37,CTPit!$E$10:$AW$175,BX$9,FALSE)-AF37)</f>
        <v>-</v>
      </c>
      <c r="BY37" s="91" t="e">
        <f>IF(AG37="-","-",VLOOKUP($E37,CTPit!$E$10:$AW$175,BY$9,FALSE)-AG37)</f>
        <v>#N/A</v>
      </c>
      <c r="BZ37" s="91" t="e">
        <f>IF(AH37="-","-",VLOOKUP($E37,CTPit!$E$10:$AW$175,BZ$9,FALSE)-AH37)</f>
        <v>#N/A</v>
      </c>
      <c r="CA37" s="91" t="str">
        <f>IF(AI37="-","-",VLOOKUP($E37,CTPit!$E$10:$AW$175,CA$9,FALSE)-AI37)</f>
        <v>-</v>
      </c>
      <c r="CB37" s="91" t="str">
        <f>IF(AJ37="-","-",VLOOKUP($E37,CTPit!$E$10:$AW$175,CB$9,FALSE)-AJ37)</f>
        <v>-</v>
      </c>
      <c r="CC37" s="91" t="e">
        <f>IF(AK37="-","-",VLOOKUP($E37,CTPit!$E$10:$AW$175,CC$9,FALSE)-AK37)</f>
        <v>#N/A</v>
      </c>
      <c r="CD37" s="91" t="e">
        <f>IF(AL37="-","-",VLOOKUP($E37,CTPit!$E$10:$AW$175,CD$9,FALSE)-AL37)</f>
        <v>#N/A</v>
      </c>
      <c r="CE37" s="91" t="str">
        <f>IF(AM37="-","-",VLOOKUP($E37,CTPit!$E$10:$AW$175,CE$9,FALSE)-AM37)</f>
        <v>-</v>
      </c>
      <c r="CF37" s="91" t="str">
        <f>IF(AN37="-","-",VLOOKUP($E37,CTPit!$E$10:$AW$175,CF$9,FALSE)-AN37)</f>
        <v>-</v>
      </c>
      <c r="CG37" s="91" t="str">
        <f>IF(AO37="-","-",VLOOKUP($E37,CTPit!$E$10:$AW$175,CG$9,FALSE)-AO37)</f>
        <v>-</v>
      </c>
      <c r="CH37" s="91" t="str">
        <f>IF(AP37="-","-",VLOOKUP($E37,CTPit!$E$10:$AW$175,CH$9,FALSE)-AP37)</f>
        <v>-</v>
      </c>
      <c r="CI37" s="91" t="str">
        <f>IF(AQ37="-","-",VLOOKUP($E37,CTPit!$E$10:$AW$175,CI$9,FALSE)-AQ37)</f>
        <v>-</v>
      </c>
      <c r="CJ37" s="91" t="str">
        <f>IF(AR37="-","-",VLOOKUP($E37,CTPit!$E$10:$AW$175,CJ$9,FALSE)-AR37)</f>
        <v>-</v>
      </c>
      <c r="CK37" t="e">
        <f t="shared" si="15"/>
        <v>#N/A</v>
      </c>
    </row>
    <row r="38" spans="3:89">
      <c r="C38" t="str">
        <f t="shared" si="5"/>
        <v>K</v>
      </c>
      <c r="D38" t="s">
        <v>107</v>
      </c>
      <c r="E38" t="s">
        <v>425</v>
      </c>
      <c r="F38" t="s">
        <v>371</v>
      </c>
      <c r="G38" t="s">
        <v>208</v>
      </c>
      <c r="H38">
        <v>22</v>
      </c>
      <c r="I38" t="s">
        <v>104</v>
      </c>
      <c r="J38" s="219" t="s">
        <v>104</v>
      </c>
      <c r="K38" t="s">
        <v>42</v>
      </c>
      <c r="L38" t="s">
        <v>42</v>
      </c>
      <c r="M38" t="s">
        <v>226</v>
      </c>
      <c r="N38" s="219" t="s">
        <v>223</v>
      </c>
      <c r="O38">
        <v>9</v>
      </c>
      <c r="P38">
        <v>5</v>
      </c>
      <c r="Q38" s="219">
        <v>4</v>
      </c>
      <c r="R38">
        <v>9</v>
      </c>
      <c r="S38">
        <v>5</v>
      </c>
      <c r="T38" s="219">
        <v>5</v>
      </c>
      <c r="U38">
        <v>9</v>
      </c>
      <c r="V38">
        <v>9</v>
      </c>
      <c r="W38" t="s">
        <v>41</v>
      </c>
      <c r="X38" t="s">
        <v>41</v>
      </c>
      <c r="Y38" t="s">
        <v>41</v>
      </c>
      <c r="Z38" t="s">
        <v>41</v>
      </c>
      <c r="AA38">
        <v>8</v>
      </c>
      <c r="AB38">
        <v>8</v>
      </c>
      <c r="AC38" t="s">
        <v>41</v>
      </c>
      <c r="AD38" t="s">
        <v>41</v>
      </c>
      <c r="AE38" t="s">
        <v>41</v>
      </c>
      <c r="AF38" t="s">
        <v>41</v>
      </c>
      <c r="AG38" t="s">
        <v>41</v>
      </c>
      <c r="AH38" t="s">
        <v>41</v>
      </c>
      <c r="AI38" t="s">
        <v>41</v>
      </c>
      <c r="AJ38" t="s">
        <v>41</v>
      </c>
      <c r="AK38" t="s">
        <v>41</v>
      </c>
      <c r="AL38" t="s">
        <v>41</v>
      </c>
      <c r="AM38" t="s">
        <v>41</v>
      </c>
      <c r="AN38" t="s">
        <v>41</v>
      </c>
      <c r="AO38" t="s">
        <v>41</v>
      </c>
      <c r="AP38" t="s">
        <v>41</v>
      </c>
      <c r="AQ38" t="s">
        <v>41</v>
      </c>
      <c r="AR38" s="219" t="s">
        <v>41</v>
      </c>
      <c r="AS38" t="s">
        <v>242</v>
      </c>
      <c r="AT38">
        <v>2</v>
      </c>
      <c r="AU38" s="11">
        <v>0.37</v>
      </c>
      <c r="AV38" s="85" t="s">
        <v>41</v>
      </c>
      <c r="AW38" s="219">
        <v>0</v>
      </c>
      <c r="AX38" s="6">
        <f t="shared" si="6"/>
        <v>6.25</v>
      </c>
      <c r="AY38" s="9" t="str">
        <f t="shared" si="7"/>
        <v>Reg</v>
      </c>
      <c r="AZ38" s="9">
        <f t="shared" si="8"/>
        <v>6.583333333333333</v>
      </c>
      <c r="BA38" s="9" t="str">
        <f t="shared" si="9"/>
        <v>GoodReg</v>
      </c>
      <c r="BB38" s="9">
        <f t="shared" si="10"/>
        <v>6.583333333333333</v>
      </c>
      <c r="BC38" s="9" t="str">
        <f t="shared" si="11"/>
        <v>GoodReg</v>
      </c>
      <c r="BD38" s="84">
        <f t="shared" si="12"/>
        <v>2</v>
      </c>
      <c r="BE38" s="83">
        <f t="shared" si="13"/>
        <v>2</v>
      </c>
      <c r="BF38" t="str">
        <f t="shared" si="14"/>
        <v/>
      </c>
      <c r="BG38" s="91">
        <f>IF(O38="-","-",VLOOKUP($E38,CTPit!$E$10:$AW$175,BG$9,FALSE)-O38)</f>
        <v>0</v>
      </c>
      <c r="BH38" s="91">
        <f>IF(P38="-","-",VLOOKUP($E38,CTPit!$E$10:$AW$175,BH$9,FALSE)-P38)</f>
        <v>0</v>
      </c>
      <c r="BI38" s="91">
        <f>IF(Q38="-","-",VLOOKUP($E38,CTPit!$E$10:$AW$175,BI$9,FALSE)-Q38)</f>
        <v>0</v>
      </c>
      <c r="BJ38" s="91">
        <f>IF(R38="-","-",VLOOKUP($E38,CTPit!$E$10:$AW$175,BJ$9,FALSE)-R38)</f>
        <v>0</v>
      </c>
      <c r="BK38" s="91">
        <f>IF(S38="-","-",VLOOKUP($E38,CTPit!$E$10:$AW$175,BK$9,FALSE)-S38)</f>
        <v>0</v>
      </c>
      <c r="BL38" s="91">
        <f>IF(T38="-","-",VLOOKUP($E38,CTPit!$E$10:$AW$175,BL$9,FALSE)-T38)</f>
        <v>0</v>
      </c>
      <c r="BM38" s="91">
        <f>IF(U38="-","-",VLOOKUP($E38,CTPit!$E$10:$AW$175,BM$9,FALSE)-U38)</f>
        <v>0</v>
      </c>
      <c r="BN38" s="91">
        <f>IF(V38="-","-",VLOOKUP($E38,CTPit!$E$10:$AW$175,BN$9,FALSE)-V38)</f>
        <v>0</v>
      </c>
      <c r="BO38" s="91" t="str">
        <f>IF(W38="-","-",VLOOKUP($E38,CTPit!$E$10:$AW$175,BO$9,FALSE)-W38)</f>
        <v>-</v>
      </c>
      <c r="BP38" s="91" t="str">
        <f>IF(X38="-","-",VLOOKUP($E38,CTPit!$E$10:$AW$175,BP$9,FALSE)-X38)</f>
        <v>-</v>
      </c>
      <c r="BQ38" s="91" t="str">
        <f>IF(Y38="-","-",VLOOKUP($E38,CTPit!$E$10:$AW$175,BQ$9,FALSE)-Y38)</f>
        <v>-</v>
      </c>
      <c r="BR38" s="91" t="str">
        <f>IF(Z38="-","-",VLOOKUP($E38,CTPit!$E$10:$AW$175,BR$9,FALSE)-Z38)</f>
        <v>-</v>
      </c>
      <c r="BS38" s="91">
        <f>IF(AA38="-","-",VLOOKUP($E38,CTPit!$E$10:$AW$175,BS$9,FALSE)-AA38)</f>
        <v>0</v>
      </c>
      <c r="BT38" s="91">
        <f>IF(AB38="-","-",VLOOKUP($E38,CTPit!$E$10:$AW$175,BT$9,FALSE)-AB38)</f>
        <v>0</v>
      </c>
      <c r="BU38" s="91" t="str">
        <f>IF(AC38="-","-",VLOOKUP($E38,CTPit!$E$10:$AW$175,BU$9,FALSE)-AC38)</f>
        <v>-</v>
      </c>
      <c r="BV38" s="91" t="str">
        <f>IF(AD38="-","-",VLOOKUP($E38,CTPit!$E$10:$AW$175,BV$9,FALSE)-AD38)</f>
        <v>-</v>
      </c>
      <c r="BW38" s="91" t="str">
        <f>IF(AE38="-","-",VLOOKUP($E38,CTPit!$E$10:$AW$175,BW$9,FALSE)-AE38)</f>
        <v>-</v>
      </c>
      <c r="BX38" s="91" t="str">
        <f>IF(AF38="-","-",VLOOKUP($E38,CTPit!$E$10:$AW$175,BX$9,FALSE)-AF38)</f>
        <v>-</v>
      </c>
      <c r="BY38" s="91" t="str">
        <f>IF(AG38="-","-",VLOOKUP($E38,CTPit!$E$10:$AW$175,BY$9,FALSE)-AG38)</f>
        <v>-</v>
      </c>
      <c r="BZ38" s="91" t="str">
        <f>IF(AH38="-","-",VLOOKUP($E38,CTPit!$E$10:$AW$175,BZ$9,FALSE)-AH38)</f>
        <v>-</v>
      </c>
      <c r="CA38" s="91" t="str">
        <f>IF(AI38="-","-",VLOOKUP($E38,CTPit!$E$10:$AW$175,CA$9,FALSE)-AI38)</f>
        <v>-</v>
      </c>
      <c r="CB38" s="91" t="str">
        <f>IF(AJ38="-","-",VLOOKUP($E38,CTPit!$E$10:$AW$175,CB$9,FALSE)-AJ38)</f>
        <v>-</v>
      </c>
      <c r="CC38" s="91" t="str">
        <f>IF(AK38="-","-",VLOOKUP($E38,CTPit!$E$10:$AW$175,CC$9,FALSE)-AK38)</f>
        <v>-</v>
      </c>
      <c r="CD38" s="91" t="str">
        <f>IF(AL38="-","-",VLOOKUP($E38,CTPit!$E$10:$AW$175,CD$9,FALSE)-AL38)</f>
        <v>-</v>
      </c>
      <c r="CE38" s="91" t="str">
        <f>IF(AM38="-","-",VLOOKUP($E38,CTPit!$E$10:$AW$175,CE$9,FALSE)-AM38)</f>
        <v>-</v>
      </c>
      <c r="CF38" s="91" t="str">
        <f>IF(AN38="-","-",VLOOKUP($E38,CTPit!$E$10:$AW$175,CF$9,FALSE)-AN38)</f>
        <v>-</v>
      </c>
      <c r="CG38" s="91" t="str">
        <f>IF(AO38="-","-",VLOOKUP($E38,CTPit!$E$10:$AW$175,CG$9,FALSE)-AO38)</f>
        <v>-</v>
      </c>
      <c r="CH38" s="91" t="str">
        <f>IF(AP38="-","-",VLOOKUP($E38,CTPit!$E$10:$AW$175,CH$9,FALSE)-AP38)</f>
        <v>-</v>
      </c>
      <c r="CI38" s="91" t="str">
        <f>IF(AQ38="-","-",VLOOKUP($E38,CTPit!$E$10:$AW$175,CI$9,FALSE)-AQ38)</f>
        <v>-</v>
      </c>
      <c r="CJ38" s="91" t="str">
        <f>IF(AR38="-","-",VLOOKUP($E38,CTPit!$E$10:$AW$175,CJ$9,FALSE)-AR38)</f>
        <v>-</v>
      </c>
      <c r="CK38">
        <f t="shared" si="15"/>
        <v>0</v>
      </c>
    </row>
    <row r="39" spans="3:89">
      <c r="C39" t="str">
        <f t="shared" si="5"/>
        <v>K</v>
      </c>
      <c r="D39" t="s">
        <v>108</v>
      </c>
      <c r="E39" t="s">
        <v>426</v>
      </c>
      <c r="F39" t="s">
        <v>371</v>
      </c>
      <c r="G39" t="s">
        <v>208</v>
      </c>
      <c r="H39">
        <v>25</v>
      </c>
      <c r="I39" t="s">
        <v>104</v>
      </c>
      <c r="J39" s="219" t="s">
        <v>104</v>
      </c>
      <c r="K39" t="s">
        <v>42</v>
      </c>
      <c r="L39" t="s">
        <v>42</v>
      </c>
      <c r="M39" t="s">
        <v>226</v>
      </c>
      <c r="N39" s="219" t="s">
        <v>224</v>
      </c>
      <c r="O39">
        <v>6</v>
      </c>
      <c r="P39">
        <v>7</v>
      </c>
      <c r="Q39" s="219">
        <v>3</v>
      </c>
      <c r="R39">
        <v>6</v>
      </c>
      <c r="S39">
        <v>7</v>
      </c>
      <c r="T39" s="219">
        <v>3</v>
      </c>
      <c r="U39">
        <v>8</v>
      </c>
      <c r="V39">
        <v>8</v>
      </c>
      <c r="W39">
        <v>3</v>
      </c>
      <c r="X39">
        <v>3</v>
      </c>
      <c r="Y39">
        <v>8</v>
      </c>
      <c r="Z39">
        <v>8</v>
      </c>
      <c r="AA39" t="s">
        <v>41</v>
      </c>
      <c r="AB39" t="s">
        <v>41</v>
      </c>
      <c r="AC39" t="s">
        <v>41</v>
      </c>
      <c r="AD39" t="s">
        <v>41</v>
      </c>
      <c r="AE39" t="s">
        <v>41</v>
      </c>
      <c r="AF39" t="s">
        <v>41</v>
      </c>
      <c r="AG39" t="s">
        <v>41</v>
      </c>
      <c r="AH39" t="s">
        <v>41</v>
      </c>
      <c r="AI39" t="s">
        <v>41</v>
      </c>
      <c r="AJ39" t="s">
        <v>41</v>
      </c>
      <c r="AK39" t="s">
        <v>41</v>
      </c>
      <c r="AL39" t="s">
        <v>41</v>
      </c>
      <c r="AM39" t="s">
        <v>41</v>
      </c>
      <c r="AN39" t="s">
        <v>41</v>
      </c>
      <c r="AO39" t="s">
        <v>41</v>
      </c>
      <c r="AP39" t="s">
        <v>41</v>
      </c>
      <c r="AQ39" t="s">
        <v>41</v>
      </c>
      <c r="AR39" s="219" t="s">
        <v>41</v>
      </c>
      <c r="AS39" t="s">
        <v>5</v>
      </c>
      <c r="AT39">
        <v>5</v>
      </c>
      <c r="AU39" s="11">
        <v>0.68</v>
      </c>
      <c r="AV39" s="85" t="s">
        <v>41</v>
      </c>
      <c r="AW39" s="219">
        <v>0</v>
      </c>
      <c r="AX39" s="6">
        <f t="shared" si="6"/>
        <v>5.833333333333333</v>
      </c>
      <c r="AY39" s="9" t="str">
        <f t="shared" si="7"/>
        <v>Reg</v>
      </c>
      <c r="AZ39" s="9">
        <f t="shared" si="8"/>
        <v>5.833333333333333</v>
      </c>
      <c r="BA39" s="9" t="str">
        <f t="shared" si="9"/>
        <v>Reg</v>
      </c>
      <c r="BB39" s="9">
        <f t="shared" si="10"/>
        <v>5.833333333333333</v>
      </c>
      <c r="BC39" s="9" t="str">
        <f t="shared" si="11"/>
        <v>Reg</v>
      </c>
      <c r="BD39" s="84">
        <f t="shared" si="12"/>
        <v>3</v>
      </c>
      <c r="BE39" s="83">
        <f t="shared" si="13"/>
        <v>2</v>
      </c>
      <c r="BF39" t="str">
        <f t="shared" si="14"/>
        <v/>
      </c>
      <c r="BG39" s="91">
        <f>IF(O39="-","-",VLOOKUP($E39,CTPit!$E$10:$AW$175,BG$9,FALSE)-O39)</f>
        <v>0</v>
      </c>
      <c r="BH39" s="91">
        <f>IF(P39="-","-",VLOOKUP($E39,CTPit!$E$10:$AW$175,BH$9,FALSE)-P39)</f>
        <v>0</v>
      </c>
      <c r="BI39" s="91">
        <f>IF(Q39="-","-",VLOOKUP($E39,CTPit!$E$10:$AW$175,BI$9,FALSE)-Q39)</f>
        <v>0</v>
      </c>
      <c r="BJ39" s="91">
        <f>IF(R39="-","-",VLOOKUP($E39,CTPit!$E$10:$AW$175,BJ$9,FALSE)-R39)</f>
        <v>0</v>
      </c>
      <c r="BK39" s="91">
        <f>IF(S39="-","-",VLOOKUP($E39,CTPit!$E$10:$AW$175,BK$9,FALSE)-S39)</f>
        <v>0</v>
      </c>
      <c r="BL39" s="91">
        <f>IF(T39="-","-",VLOOKUP($E39,CTPit!$E$10:$AW$175,BL$9,FALSE)-T39)</f>
        <v>1</v>
      </c>
      <c r="BM39" s="91">
        <f>IF(U39="-","-",VLOOKUP($E39,CTPit!$E$10:$AW$175,BM$9,FALSE)-U39)</f>
        <v>0</v>
      </c>
      <c r="BN39" s="91">
        <f>IF(V39="-","-",VLOOKUP($E39,CTPit!$E$10:$AW$175,BN$9,FALSE)-V39)</f>
        <v>0</v>
      </c>
      <c r="BO39" s="91">
        <f>IF(W39="-","-",VLOOKUP($E39,CTPit!$E$10:$AW$175,BO$9,FALSE)-W39)</f>
        <v>0</v>
      </c>
      <c r="BP39" s="91">
        <f>IF(X39="-","-",VLOOKUP($E39,CTPit!$E$10:$AW$175,BP$9,FALSE)-X39)</f>
        <v>0</v>
      </c>
      <c r="BQ39" s="91">
        <f>IF(Y39="-","-",VLOOKUP($E39,CTPit!$E$10:$AW$175,BQ$9,FALSE)-Y39)</f>
        <v>0</v>
      </c>
      <c r="BR39" s="91">
        <f>IF(Z39="-","-",VLOOKUP($E39,CTPit!$E$10:$AW$175,BR$9,FALSE)-Z39)</f>
        <v>0</v>
      </c>
      <c r="BS39" s="91" t="str">
        <f>IF(AA39="-","-",VLOOKUP($E39,CTPit!$E$10:$AW$175,BS$9,FALSE)-AA39)</f>
        <v>-</v>
      </c>
      <c r="BT39" s="91" t="str">
        <f>IF(AB39="-","-",VLOOKUP($E39,CTPit!$E$10:$AW$175,BT$9,FALSE)-AB39)</f>
        <v>-</v>
      </c>
      <c r="BU39" s="91" t="str">
        <f>IF(AC39="-","-",VLOOKUP($E39,CTPit!$E$10:$AW$175,BU$9,FALSE)-AC39)</f>
        <v>-</v>
      </c>
      <c r="BV39" s="91" t="str">
        <f>IF(AD39="-","-",VLOOKUP($E39,CTPit!$E$10:$AW$175,BV$9,FALSE)-AD39)</f>
        <v>-</v>
      </c>
      <c r="BW39" s="91" t="str">
        <f>IF(AE39="-","-",VLOOKUP($E39,CTPit!$E$10:$AW$175,BW$9,FALSE)-AE39)</f>
        <v>-</v>
      </c>
      <c r="BX39" s="91" t="str">
        <f>IF(AF39="-","-",VLOOKUP($E39,CTPit!$E$10:$AW$175,BX$9,FALSE)-AF39)</f>
        <v>-</v>
      </c>
      <c r="BY39" s="91" t="str">
        <f>IF(AG39="-","-",VLOOKUP($E39,CTPit!$E$10:$AW$175,BY$9,FALSE)-AG39)</f>
        <v>-</v>
      </c>
      <c r="BZ39" s="91" t="str">
        <f>IF(AH39="-","-",VLOOKUP($E39,CTPit!$E$10:$AW$175,BZ$9,FALSE)-AH39)</f>
        <v>-</v>
      </c>
      <c r="CA39" s="91" t="str">
        <f>IF(AI39="-","-",VLOOKUP($E39,CTPit!$E$10:$AW$175,CA$9,FALSE)-AI39)</f>
        <v>-</v>
      </c>
      <c r="CB39" s="91" t="str">
        <f>IF(AJ39="-","-",VLOOKUP($E39,CTPit!$E$10:$AW$175,CB$9,FALSE)-AJ39)</f>
        <v>-</v>
      </c>
      <c r="CC39" s="91" t="str">
        <f>IF(AK39="-","-",VLOOKUP($E39,CTPit!$E$10:$AW$175,CC$9,FALSE)-AK39)</f>
        <v>-</v>
      </c>
      <c r="CD39" s="91" t="str">
        <f>IF(AL39="-","-",VLOOKUP($E39,CTPit!$E$10:$AW$175,CD$9,FALSE)-AL39)</f>
        <v>-</v>
      </c>
      <c r="CE39" s="91" t="str">
        <f>IF(AM39="-","-",VLOOKUP($E39,CTPit!$E$10:$AW$175,CE$9,FALSE)-AM39)</f>
        <v>-</v>
      </c>
      <c r="CF39" s="91" t="str">
        <f>IF(AN39="-","-",VLOOKUP($E39,CTPit!$E$10:$AW$175,CF$9,FALSE)-AN39)</f>
        <v>-</v>
      </c>
      <c r="CG39" s="91" t="str">
        <f>IF(AO39="-","-",VLOOKUP($E39,CTPit!$E$10:$AW$175,CG$9,FALSE)-AO39)</f>
        <v>-</v>
      </c>
      <c r="CH39" s="91" t="str">
        <f>IF(AP39="-","-",VLOOKUP($E39,CTPit!$E$10:$AW$175,CH$9,FALSE)-AP39)</f>
        <v>-</v>
      </c>
      <c r="CI39" s="91" t="str">
        <f>IF(AQ39="-","-",VLOOKUP($E39,CTPit!$E$10:$AW$175,CI$9,FALSE)-AQ39)</f>
        <v>-</v>
      </c>
      <c r="CJ39" s="91" t="str">
        <f>IF(AR39="-","-",VLOOKUP($E39,CTPit!$E$10:$AW$175,CJ$9,FALSE)-AR39)</f>
        <v>-</v>
      </c>
      <c r="CK39">
        <f t="shared" si="15"/>
        <v>1</v>
      </c>
    </row>
    <row r="40" spans="3:89">
      <c r="C40" t="str">
        <f t="shared" si="5"/>
        <v>K</v>
      </c>
      <c r="D40" t="s">
        <v>107</v>
      </c>
      <c r="E40" t="s">
        <v>498</v>
      </c>
      <c r="F40" t="s">
        <v>371</v>
      </c>
      <c r="G40" t="s">
        <v>208</v>
      </c>
      <c r="H40">
        <v>32</v>
      </c>
      <c r="I40" t="s">
        <v>104</v>
      </c>
      <c r="J40" s="219" t="s">
        <v>104</v>
      </c>
      <c r="K40" t="s">
        <v>42</v>
      </c>
      <c r="L40" t="s">
        <v>42</v>
      </c>
      <c r="M40" t="s">
        <v>226</v>
      </c>
      <c r="N40" s="219" t="s">
        <v>226</v>
      </c>
      <c r="O40">
        <v>8</v>
      </c>
      <c r="P40">
        <v>5</v>
      </c>
      <c r="Q40" s="219">
        <v>3</v>
      </c>
      <c r="R40">
        <v>8</v>
      </c>
      <c r="S40">
        <v>5</v>
      </c>
      <c r="T40" s="219">
        <v>3</v>
      </c>
      <c r="U40">
        <v>7</v>
      </c>
      <c r="V40">
        <v>7</v>
      </c>
      <c r="W40">
        <v>9</v>
      </c>
      <c r="X40">
        <v>9</v>
      </c>
      <c r="Y40" t="s">
        <v>41</v>
      </c>
      <c r="Z40" t="s">
        <v>41</v>
      </c>
      <c r="AA40">
        <v>3</v>
      </c>
      <c r="AB40">
        <v>3</v>
      </c>
      <c r="AC40" t="s">
        <v>41</v>
      </c>
      <c r="AD40" t="s">
        <v>41</v>
      </c>
      <c r="AE40" t="s">
        <v>41</v>
      </c>
      <c r="AF40" t="s">
        <v>41</v>
      </c>
      <c r="AG40" t="s">
        <v>41</v>
      </c>
      <c r="AH40" t="s">
        <v>41</v>
      </c>
      <c r="AI40" t="s">
        <v>41</v>
      </c>
      <c r="AJ40" t="s">
        <v>41</v>
      </c>
      <c r="AK40" t="s">
        <v>41</v>
      </c>
      <c r="AL40" t="s">
        <v>41</v>
      </c>
      <c r="AM40" t="s">
        <v>41</v>
      </c>
      <c r="AN40" t="s">
        <v>41</v>
      </c>
      <c r="AO40" t="s">
        <v>41</v>
      </c>
      <c r="AP40" t="s">
        <v>41</v>
      </c>
      <c r="AQ40" t="s">
        <v>41</v>
      </c>
      <c r="AR40" s="219" t="s">
        <v>41</v>
      </c>
      <c r="AS40" t="s">
        <v>5</v>
      </c>
      <c r="AT40">
        <v>2</v>
      </c>
      <c r="AU40" s="11">
        <v>0.56000000000000005</v>
      </c>
      <c r="AV40" s="85" t="s">
        <v>41</v>
      </c>
      <c r="AW40" s="219" t="s">
        <v>45</v>
      </c>
      <c r="AX40" s="6">
        <f t="shared" si="6"/>
        <v>5.833333333333333</v>
      </c>
      <c r="AY40" s="9" t="str">
        <f t="shared" si="7"/>
        <v>Reg</v>
      </c>
      <c r="AZ40" s="9">
        <f t="shared" si="8"/>
        <v>5.833333333333333</v>
      </c>
      <c r="BA40" s="9" t="str">
        <f t="shared" si="9"/>
        <v>Reg</v>
      </c>
      <c r="BB40" s="9">
        <f t="shared" si="10"/>
        <v>5.833333333333333</v>
      </c>
      <c r="BC40" s="9" t="str">
        <f t="shared" si="11"/>
        <v>Reg</v>
      </c>
      <c r="BD40" s="84">
        <f t="shared" si="12"/>
        <v>3</v>
      </c>
      <c r="BE40" s="83">
        <f t="shared" si="13"/>
        <v>2</v>
      </c>
      <c r="BF40" t="str">
        <f t="shared" si="14"/>
        <v/>
      </c>
      <c r="BG40" s="91" t="e">
        <f>IF(O40="-","-",VLOOKUP($E40,CTPit!$E$10:$AW$175,BG$9,FALSE)-O40)</f>
        <v>#N/A</v>
      </c>
      <c r="BH40" s="91" t="e">
        <f>IF(P40="-","-",VLOOKUP($E40,CTPit!$E$10:$AW$175,BH$9,FALSE)-P40)</f>
        <v>#N/A</v>
      </c>
      <c r="BI40" s="91" t="e">
        <f>IF(Q40="-","-",VLOOKUP($E40,CTPit!$E$10:$AW$175,BI$9,FALSE)-Q40)</f>
        <v>#N/A</v>
      </c>
      <c r="BJ40" s="91" t="e">
        <f>IF(R40="-","-",VLOOKUP($E40,CTPit!$E$10:$AW$175,BJ$9,FALSE)-R40)</f>
        <v>#N/A</v>
      </c>
      <c r="BK40" s="91" t="e">
        <f>IF(S40="-","-",VLOOKUP($E40,CTPit!$E$10:$AW$175,BK$9,FALSE)-S40)</f>
        <v>#N/A</v>
      </c>
      <c r="BL40" s="91" t="e">
        <f>IF(T40="-","-",VLOOKUP($E40,CTPit!$E$10:$AW$175,BL$9,FALSE)-T40)</f>
        <v>#N/A</v>
      </c>
      <c r="BM40" s="91" t="e">
        <f>IF(U40="-","-",VLOOKUP($E40,CTPit!$E$10:$AW$175,BM$9,FALSE)-U40)</f>
        <v>#N/A</v>
      </c>
      <c r="BN40" s="91" t="e">
        <f>IF(V40="-","-",VLOOKUP($E40,CTPit!$E$10:$AW$175,BN$9,FALSE)-V40)</f>
        <v>#N/A</v>
      </c>
      <c r="BO40" s="91" t="e">
        <f>IF(W40="-","-",VLOOKUP($E40,CTPit!$E$10:$AW$175,BO$9,FALSE)-W40)</f>
        <v>#N/A</v>
      </c>
      <c r="BP40" s="91" t="e">
        <f>IF(X40="-","-",VLOOKUP($E40,CTPit!$E$10:$AW$175,BP$9,FALSE)-X40)</f>
        <v>#N/A</v>
      </c>
      <c r="BQ40" s="91" t="str">
        <f>IF(Y40="-","-",VLOOKUP($E40,CTPit!$E$10:$AW$175,BQ$9,FALSE)-Y40)</f>
        <v>-</v>
      </c>
      <c r="BR40" s="91" t="str">
        <f>IF(Z40="-","-",VLOOKUP($E40,CTPit!$E$10:$AW$175,BR$9,FALSE)-Z40)</f>
        <v>-</v>
      </c>
      <c r="BS40" s="91" t="e">
        <f>IF(AA40="-","-",VLOOKUP($E40,CTPit!$E$10:$AW$175,BS$9,FALSE)-AA40)</f>
        <v>#N/A</v>
      </c>
      <c r="BT40" s="91" t="e">
        <f>IF(AB40="-","-",VLOOKUP($E40,CTPit!$E$10:$AW$175,BT$9,FALSE)-AB40)</f>
        <v>#N/A</v>
      </c>
      <c r="BU40" s="91" t="str">
        <f>IF(AC40="-","-",VLOOKUP($E40,CTPit!$E$10:$AW$175,BU$9,FALSE)-AC40)</f>
        <v>-</v>
      </c>
      <c r="BV40" s="91" t="str">
        <f>IF(AD40="-","-",VLOOKUP($E40,CTPit!$E$10:$AW$175,BV$9,FALSE)-AD40)</f>
        <v>-</v>
      </c>
      <c r="BW40" s="91" t="str">
        <f>IF(AE40="-","-",VLOOKUP($E40,CTPit!$E$10:$AW$175,BW$9,FALSE)-AE40)</f>
        <v>-</v>
      </c>
      <c r="BX40" s="91" t="str">
        <f>IF(AF40="-","-",VLOOKUP($E40,CTPit!$E$10:$AW$175,BX$9,FALSE)-AF40)</f>
        <v>-</v>
      </c>
      <c r="BY40" s="91" t="str">
        <f>IF(AG40="-","-",VLOOKUP($E40,CTPit!$E$10:$AW$175,BY$9,FALSE)-AG40)</f>
        <v>-</v>
      </c>
      <c r="BZ40" s="91" t="str">
        <f>IF(AH40="-","-",VLOOKUP($E40,CTPit!$E$10:$AW$175,BZ$9,FALSE)-AH40)</f>
        <v>-</v>
      </c>
      <c r="CA40" s="91" t="str">
        <f>IF(AI40="-","-",VLOOKUP($E40,CTPit!$E$10:$AW$175,CA$9,FALSE)-AI40)</f>
        <v>-</v>
      </c>
      <c r="CB40" s="91" t="str">
        <f>IF(AJ40="-","-",VLOOKUP($E40,CTPit!$E$10:$AW$175,CB$9,FALSE)-AJ40)</f>
        <v>-</v>
      </c>
      <c r="CC40" s="91" t="str">
        <f>IF(AK40="-","-",VLOOKUP($E40,CTPit!$E$10:$AW$175,CC$9,FALSE)-AK40)</f>
        <v>-</v>
      </c>
      <c r="CD40" s="91" t="str">
        <f>IF(AL40="-","-",VLOOKUP($E40,CTPit!$E$10:$AW$175,CD$9,FALSE)-AL40)</f>
        <v>-</v>
      </c>
      <c r="CE40" s="91" t="str">
        <f>IF(AM40="-","-",VLOOKUP($E40,CTPit!$E$10:$AW$175,CE$9,FALSE)-AM40)</f>
        <v>-</v>
      </c>
      <c r="CF40" s="91" t="str">
        <f>IF(AN40="-","-",VLOOKUP($E40,CTPit!$E$10:$AW$175,CF$9,FALSE)-AN40)</f>
        <v>-</v>
      </c>
      <c r="CG40" s="91" t="str">
        <f>IF(AO40="-","-",VLOOKUP($E40,CTPit!$E$10:$AW$175,CG$9,FALSE)-AO40)</f>
        <v>-</v>
      </c>
      <c r="CH40" s="91" t="str">
        <f>IF(AP40="-","-",VLOOKUP($E40,CTPit!$E$10:$AW$175,CH$9,FALSE)-AP40)</f>
        <v>-</v>
      </c>
      <c r="CI40" s="91" t="str">
        <f>IF(AQ40="-","-",VLOOKUP($E40,CTPit!$E$10:$AW$175,CI$9,FALSE)-AQ40)</f>
        <v>-</v>
      </c>
      <c r="CJ40" s="91" t="str">
        <f>IF(AR40="-","-",VLOOKUP($E40,CTPit!$E$10:$AW$175,CJ$9,FALSE)-AR40)</f>
        <v>-</v>
      </c>
      <c r="CK40" t="e">
        <f t="shared" si="15"/>
        <v>#N/A</v>
      </c>
    </row>
    <row r="41" spans="3:89">
      <c r="C41" t="str">
        <f t="shared" si="5"/>
        <v>K</v>
      </c>
      <c r="D41" t="s">
        <v>108</v>
      </c>
      <c r="E41" t="s">
        <v>13</v>
      </c>
      <c r="F41" t="s">
        <v>371</v>
      </c>
      <c r="G41" t="s">
        <v>208</v>
      </c>
      <c r="H41">
        <v>25</v>
      </c>
      <c r="I41" t="s">
        <v>104</v>
      </c>
      <c r="J41" s="219" t="s">
        <v>104</v>
      </c>
      <c r="K41" t="s">
        <v>42</v>
      </c>
      <c r="L41" t="s">
        <v>42</v>
      </c>
      <c r="M41" t="s">
        <v>224</v>
      </c>
      <c r="N41" s="219" t="s">
        <v>224</v>
      </c>
      <c r="O41">
        <v>4</v>
      </c>
      <c r="P41">
        <v>7</v>
      </c>
      <c r="Q41" s="219">
        <v>5</v>
      </c>
      <c r="R41">
        <v>4</v>
      </c>
      <c r="S41">
        <v>7</v>
      </c>
      <c r="T41" s="219">
        <v>5</v>
      </c>
      <c r="U41">
        <v>6</v>
      </c>
      <c r="V41">
        <v>6</v>
      </c>
      <c r="W41">
        <v>4</v>
      </c>
      <c r="X41">
        <v>4</v>
      </c>
      <c r="Y41">
        <v>4</v>
      </c>
      <c r="Z41">
        <v>4</v>
      </c>
      <c r="AA41" t="s">
        <v>41</v>
      </c>
      <c r="AB41" t="s">
        <v>41</v>
      </c>
      <c r="AC41" t="s">
        <v>41</v>
      </c>
      <c r="AD41" t="s">
        <v>41</v>
      </c>
      <c r="AE41" t="s">
        <v>41</v>
      </c>
      <c r="AF41" t="s">
        <v>41</v>
      </c>
      <c r="AG41" t="s">
        <v>41</v>
      </c>
      <c r="AH41" t="s">
        <v>41</v>
      </c>
      <c r="AI41" t="s">
        <v>41</v>
      </c>
      <c r="AJ41" t="s">
        <v>41</v>
      </c>
      <c r="AK41" t="s">
        <v>41</v>
      </c>
      <c r="AL41" t="s">
        <v>41</v>
      </c>
      <c r="AM41" t="s">
        <v>41</v>
      </c>
      <c r="AN41" t="s">
        <v>41</v>
      </c>
      <c r="AO41" t="s">
        <v>41</v>
      </c>
      <c r="AP41" t="s">
        <v>41</v>
      </c>
      <c r="AQ41" t="s">
        <v>41</v>
      </c>
      <c r="AR41" s="219" t="s">
        <v>41</v>
      </c>
      <c r="AS41" t="s">
        <v>5</v>
      </c>
      <c r="AT41">
        <v>4</v>
      </c>
      <c r="AU41" s="11">
        <v>0.63</v>
      </c>
      <c r="AV41" s="85" t="s">
        <v>41</v>
      </c>
      <c r="AW41" s="219">
        <v>0</v>
      </c>
      <c r="AX41" s="6">
        <f t="shared" si="6"/>
        <v>5.833333333333333</v>
      </c>
      <c r="AY41" s="9" t="str">
        <f t="shared" si="7"/>
        <v>Reg</v>
      </c>
      <c r="AZ41" s="9">
        <f t="shared" si="8"/>
        <v>5.833333333333333</v>
      </c>
      <c r="BA41" s="9" t="str">
        <f t="shared" si="9"/>
        <v>Reg</v>
      </c>
      <c r="BB41" s="9">
        <f t="shared" si="10"/>
        <v>5.833333333333333</v>
      </c>
      <c r="BC41" s="9" t="str">
        <f t="shared" si="11"/>
        <v>Reg</v>
      </c>
      <c r="BD41" s="84">
        <f t="shared" si="12"/>
        <v>3</v>
      </c>
      <c r="BE41" s="83">
        <f t="shared" si="13"/>
        <v>1</v>
      </c>
      <c r="BF41" t="str">
        <f t="shared" si="14"/>
        <v/>
      </c>
      <c r="BG41" s="91">
        <f>IF(O41="-","-",VLOOKUP($E41,CTPit!$E$10:$AW$175,BG$9,FALSE)-O41)</f>
        <v>0</v>
      </c>
      <c r="BH41" s="91">
        <f>IF(P41="-","-",VLOOKUP($E41,CTPit!$E$10:$AW$175,BH$9,FALSE)-P41)</f>
        <v>0</v>
      </c>
      <c r="BI41" s="91">
        <f>IF(Q41="-","-",VLOOKUP($E41,CTPit!$E$10:$AW$175,BI$9,FALSE)-Q41)</f>
        <v>0</v>
      </c>
      <c r="BJ41" s="91">
        <f>IF(R41="-","-",VLOOKUP($E41,CTPit!$E$10:$AW$175,BJ$9,FALSE)-R41)</f>
        <v>0</v>
      </c>
      <c r="BK41" s="91">
        <f>IF(S41="-","-",VLOOKUP($E41,CTPit!$E$10:$AW$175,BK$9,FALSE)-S41)</f>
        <v>0</v>
      </c>
      <c r="BL41" s="91">
        <f>IF(T41="-","-",VLOOKUP($E41,CTPit!$E$10:$AW$175,BL$9,FALSE)-T41)</f>
        <v>1</v>
      </c>
      <c r="BM41" s="91">
        <f>IF(U41="-","-",VLOOKUP($E41,CTPit!$E$10:$AW$175,BM$9,FALSE)-U41)</f>
        <v>0</v>
      </c>
      <c r="BN41" s="91">
        <f>IF(V41="-","-",VLOOKUP($E41,CTPit!$E$10:$AW$175,BN$9,FALSE)-V41)</f>
        <v>0</v>
      </c>
      <c r="BO41" s="91">
        <f>IF(W41="-","-",VLOOKUP($E41,CTPit!$E$10:$AW$175,BO$9,FALSE)-W41)</f>
        <v>0</v>
      </c>
      <c r="BP41" s="91">
        <f>IF(X41="-","-",VLOOKUP($E41,CTPit!$E$10:$AW$175,BP$9,FALSE)-X41)</f>
        <v>0</v>
      </c>
      <c r="BQ41" s="91">
        <f>IF(Y41="-","-",VLOOKUP($E41,CTPit!$E$10:$AW$175,BQ$9,FALSE)-Y41)</f>
        <v>0</v>
      </c>
      <c r="BR41" s="91">
        <f>IF(Z41="-","-",VLOOKUP($E41,CTPit!$E$10:$AW$175,BR$9,FALSE)-Z41)</f>
        <v>0</v>
      </c>
      <c r="BS41" s="91" t="str">
        <f>IF(AA41="-","-",VLOOKUP($E41,CTPit!$E$10:$AW$175,BS$9,FALSE)-AA41)</f>
        <v>-</v>
      </c>
      <c r="BT41" s="91" t="str">
        <f>IF(AB41="-","-",VLOOKUP($E41,CTPit!$E$10:$AW$175,BT$9,FALSE)-AB41)</f>
        <v>-</v>
      </c>
      <c r="BU41" s="91" t="str">
        <f>IF(AC41="-","-",VLOOKUP($E41,CTPit!$E$10:$AW$175,BU$9,FALSE)-AC41)</f>
        <v>-</v>
      </c>
      <c r="BV41" s="91" t="str">
        <f>IF(AD41="-","-",VLOOKUP($E41,CTPit!$E$10:$AW$175,BV$9,FALSE)-AD41)</f>
        <v>-</v>
      </c>
      <c r="BW41" s="91" t="str">
        <f>IF(AE41="-","-",VLOOKUP($E41,CTPit!$E$10:$AW$175,BW$9,FALSE)-AE41)</f>
        <v>-</v>
      </c>
      <c r="BX41" s="91" t="str">
        <f>IF(AF41="-","-",VLOOKUP($E41,CTPit!$E$10:$AW$175,BX$9,FALSE)-AF41)</f>
        <v>-</v>
      </c>
      <c r="BY41" s="91" t="str">
        <f>IF(AG41="-","-",VLOOKUP($E41,CTPit!$E$10:$AW$175,BY$9,FALSE)-AG41)</f>
        <v>-</v>
      </c>
      <c r="BZ41" s="91" t="str">
        <f>IF(AH41="-","-",VLOOKUP($E41,CTPit!$E$10:$AW$175,BZ$9,FALSE)-AH41)</f>
        <v>-</v>
      </c>
      <c r="CA41" s="91" t="str">
        <f>IF(AI41="-","-",VLOOKUP($E41,CTPit!$E$10:$AW$175,CA$9,FALSE)-AI41)</f>
        <v>-</v>
      </c>
      <c r="CB41" s="91" t="str">
        <f>IF(AJ41="-","-",VLOOKUP($E41,CTPit!$E$10:$AW$175,CB$9,FALSE)-AJ41)</f>
        <v>-</v>
      </c>
      <c r="CC41" s="91" t="str">
        <f>IF(AK41="-","-",VLOOKUP($E41,CTPit!$E$10:$AW$175,CC$9,FALSE)-AK41)</f>
        <v>-</v>
      </c>
      <c r="CD41" s="91" t="str">
        <f>IF(AL41="-","-",VLOOKUP($E41,CTPit!$E$10:$AW$175,CD$9,FALSE)-AL41)</f>
        <v>-</v>
      </c>
      <c r="CE41" s="91" t="str">
        <f>IF(AM41="-","-",VLOOKUP($E41,CTPit!$E$10:$AW$175,CE$9,FALSE)-AM41)</f>
        <v>-</v>
      </c>
      <c r="CF41" s="91" t="str">
        <f>IF(AN41="-","-",VLOOKUP($E41,CTPit!$E$10:$AW$175,CF$9,FALSE)-AN41)</f>
        <v>-</v>
      </c>
      <c r="CG41" s="91" t="str">
        <f>IF(AO41="-","-",VLOOKUP($E41,CTPit!$E$10:$AW$175,CG$9,FALSE)-AO41)</f>
        <v>-</v>
      </c>
      <c r="CH41" s="91" t="str">
        <f>IF(AP41="-","-",VLOOKUP($E41,CTPit!$E$10:$AW$175,CH$9,FALSE)-AP41)</f>
        <v>-</v>
      </c>
      <c r="CI41" s="91" t="str">
        <f>IF(AQ41="-","-",VLOOKUP($E41,CTPit!$E$10:$AW$175,CI$9,FALSE)-AQ41)</f>
        <v>-</v>
      </c>
      <c r="CJ41" s="91" t="str">
        <f>IF(AR41="-","-",VLOOKUP($E41,CTPit!$E$10:$AW$175,CJ$9,FALSE)-AR41)</f>
        <v>-</v>
      </c>
      <c r="CK41">
        <f t="shared" si="15"/>
        <v>1</v>
      </c>
    </row>
    <row r="42" spans="3:89">
      <c r="C42" t="str">
        <f t="shared" si="5"/>
        <v>K</v>
      </c>
      <c r="D42" t="s">
        <v>107</v>
      </c>
      <c r="E42" t="s">
        <v>309</v>
      </c>
      <c r="F42" t="s">
        <v>372</v>
      </c>
      <c r="G42" t="s">
        <v>209</v>
      </c>
      <c r="H42">
        <v>27</v>
      </c>
      <c r="I42" t="s">
        <v>104</v>
      </c>
      <c r="J42" s="219" t="s">
        <v>104</v>
      </c>
      <c r="K42" t="s">
        <v>42</v>
      </c>
      <c r="L42" t="s">
        <v>42</v>
      </c>
      <c r="M42" t="s">
        <v>224</v>
      </c>
      <c r="N42" s="219" t="s">
        <v>223</v>
      </c>
      <c r="O42">
        <v>4</v>
      </c>
      <c r="P42">
        <v>7</v>
      </c>
      <c r="Q42" s="219">
        <v>5</v>
      </c>
      <c r="R42">
        <v>4</v>
      </c>
      <c r="S42">
        <v>7</v>
      </c>
      <c r="T42" s="219">
        <v>5</v>
      </c>
      <c r="U42">
        <v>4</v>
      </c>
      <c r="V42">
        <v>4</v>
      </c>
      <c r="W42">
        <v>5</v>
      </c>
      <c r="X42">
        <v>5</v>
      </c>
      <c r="Y42">
        <v>3</v>
      </c>
      <c r="Z42">
        <v>3</v>
      </c>
      <c r="AA42" t="s">
        <v>41</v>
      </c>
      <c r="AB42" t="s">
        <v>41</v>
      </c>
      <c r="AC42" t="s">
        <v>41</v>
      </c>
      <c r="AD42" t="s">
        <v>41</v>
      </c>
      <c r="AE42" t="s">
        <v>41</v>
      </c>
      <c r="AF42" t="s">
        <v>41</v>
      </c>
      <c r="AG42">
        <v>5</v>
      </c>
      <c r="AH42">
        <v>5</v>
      </c>
      <c r="AI42" t="s">
        <v>41</v>
      </c>
      <c r="AJ42" t="s">
        <v>41</v>
      </c>
      <c r="AK42" t="s">
        <v>41</v>
      </c>
      <c r="AL42" t="s">
        <v>41</v>
      </c>
      <c r="AM42" t="s">
        <v>41</v>
      </c>
      <c r="AN42" t="s">
        <v>41</v>
      </c>
      <c r="AO42">
        <v>2</v>
      </c>
      <c r="AP42">
        <v>2</v>
      </c>
      <c r="AQ42" t="s">
        <v>41</v>
      </c>
      <c r="AR42" s="219" t="s">
        <v>41</v>
      </c>
      <c r="AS42" t="s">
        <v>2</v>
      </c>
      <c r="AT42">
        <v>2</v>
      </c>
      <c r="AU42" s="11">
        <v>0.48</v>
      </c>
      <c r="AV42" s="85" t="s">
        <v>41</v>
      </c>
      <c r="AW42" s="219">
        <v>0</v>
      </c>
      <c r="AX42" s="6">
        <f t="shared" si="6"/>
        <v>5.833333333333333</v>
      </c>
      <c r="AY42" s="9" t="str">
        <f t="shared" si="7"/>
        <v>Reg</v>
      </c>
      <c r="AZ42" s="9">
        <f t="shared" si="8"/>
        <v>5.833333333333333</v>
      </c>
      <c r="BA42" s="9" t="str">
        <f t="shared" si="9"/>
        <v>Reg</v>
      </c>
      <c r="BB42" s="9">
        <f t="shared" si="10"/>
        <v>5.833333333333333</v>
      </c>
      <c r="BC42" s="9" t="str">
        <f t="shared" si="11"/>
        <v>Reg</v>
      </c>
      <c r="BD42" s="84">
        <f t="shared" si="12"/>
        <v>5</v>
      </c>
      <c r="BE42" s="83">
        <f t="shared" si="13"/>
        <v>0</v>
      </c>
      <c r="BF42" t="str">
        <f t="shared" si="14"/>
        <v/>
      </c>
      <c r="BG42" s="91" t="e">
        <f>IF(O42="-","-",VLOOKUP($E42,CTPit!$E$10:$AW$175,BG$9,FALSE)-O42)</f>
        <v>#N/A</v>
      </c>
      <c r="BH42" s="91" t="e">
        <f>IF(P42="-","-",VLOOKUP($E42,CTPit!$E$10:$AW$175,BH$9,FALSE)-P42)</f>
        <v>#N/A</v>
      </c>
      <c r="BI42" s="91" t="e">
        <f>IF(Q42="-","-",VLOOKUP($E42,CTPit!$E$10:$AW$175,BI$9,FALSE)-Q42)</f>
        <v>#N/A</v>
      </c>
      <c r="BJ42" s="91" t="e">
        <f>IF(R42="-","-",VLOOKUP($E42,CTPit!$E$10:$AW$175,BJ$9,FALSE)-R42)</f>
        <v>#N/A</v>
      </c>
      <c r="BK42" s="91" t="e">
        <f>IF(S42="-","-",VLOOKUP($E42,CTPit!$E$10:$AW$175,BK$9,FALSE)-S42)</f>
        <v>#N/A</v>
      </c>
      <c r="BL42" s="91" t="e">
        <f>IF(T42="-","-",VLOOKUP($E42,CTPit!$E$10:$AW$175,BL$9,FALSE)-T42)</f>
        <v>#N/A</v>
      </c>
      <c r="BM42" s="91" t="e">
        <f>IF(U42="-","-",VLOOKUP($E42,CTPit!$E$10:$AW$175,BM$9,FALSE)-U42)</f>
        <v>#N/A</v>
      </c>
      <c r="BN42" s="91" t="e">
        <f>IF(V42="-","-",VLOOKUP($E42,CTPit!$E$10:$AW$175,BN$9,FALSE)-V42)</f>
        <v>#N/A</v>
      </c>
      <c r="BO42" s="91" t="e">
        <f>IF(W42="-","-",VLOOKUP($E42,CTPit!$E$10:$AW$175,BO$9,FALSE)-W42)</f>
        <v>#N/A</v>
      </c>
      <c r="BP42" s="91" t="e">
        <f>IF(X42="-","-",VLOOKUP($E42,CTPit!$E$10:$AW$175,BP$9,FALSE)-X42)</f>
        <v>#N/A</v>
      </c>
      <c r="BQ42" s="91" t="e">
        <f>IF(Y42="-","-",VLOOKUP($E42,CTPit!$E$10:$AW$175,BQ$9,FALSE)-Y42)</f>
        <v>#N/A</v>
      </c>
      <c r="BR42" s="91" t="e">
        <f>IF(Z42="-","-",VLOOKUP($E42,CTPit!$E$10:$AW$175,BR$9,FALSE)-Z42)</f>
        <v>#N/A</v>
      </c>
      <c r="BS42" s="91" t="str">
        <f>IF(AA42="-","-",VLOOKUP($E42,CTPit!$E$10:$AW$175,BS$9,FALSE)-AA42)</f>
        <v>-</v>
      </c>
      <c r="BT42" s="91" t="str">
        <f>IF(AB42="-","-",VLOOKUP($E42,CTPit!$E$10:$AW$175,BT$9,FALSE)-AB42)</f>
        <v>-</v>
      </c>
      <c r="BU42" s="91" t="str">
        <f>IF(AC42="-","-",VLOOKUP($E42,CTPit!$E$10:$AW$175,BU$9,FALSE)-AC42)</f>
        <v>-</v>
      </c>
      <c r="BV42" s="91" t="str">
        <f>IF(AD42="-","-",VLOOKUP($E42,CTPit!$E$10:$AW$175,BV$9,FALSE)-AD42)</f>
        <v>-</v>
      </c>
      <c r="BW42" s="91" t="str">
        <f>IF(AE42="-","-",VLOOKUP($E42,CTPit!$E$10:$AW$175,BW$9,FALSE)-AE42)</f>
        <v>-</v>
      </c>
      <c r="BX42" s="91" t="str">
        <f>IF(AF42="-","-",VLOOKUP($E42,CTPit!$E$10:$AW$175,BX$9,FALSE)-AF42)</f>
        <v>-</v>
      </c>
      <c r="BY42" s="91" t="e">
        <f>IF(AG42="-","-",VLOOKUP($E42,CTPit!$E$10:$AW$175,BY$9,FALSE)-AG42)</f>
        <v>#N/A</v>
      </c>
      <c r="BZ42" s="91" t="e">
        <f>IF(AH42="-","-",VLOOKUP($E42,CTPit!$E$10:$AW$175,BZ$9,FALSE)-AH42)</f>
        <v>#N/A</v>
      </c>
      <c r="CA42" s="91" t="str">
        <f>IF(AI42="-","-",VLOOKUP($E42,CTPit!$E$10:$AW$175,CA$9,FALSE)-AI42)</f>
        <v>-</v>
      </c>
      <c r="CB42" s="91" t="str">
        <f>IF(AJ42="-","-",VLOOKUP($E42,CTPit!$E$10:$AW$175,CB$9,FALSE)-AJ42)</f>
        <v>-</v>
      </c>
      <c r="CC42" s="91" t="str">
        <f>IF(AK42="-","-",VLOOKUP($E42,CTPit!$E$10:$AW$175,CC$9,FALSE)-AK42)</f>
        <v>-</v>
      </c>
      <c r="CD42" s="91" t="str">
        <f>IF(AL42="-","-",VLOOKUP($E42,CTPit!$E$10:$AW$175,CD$9,FALSE)-AL42)</f>
        <v>-</v>
      </c>
      <c r="CE42" s="91" t="str">
        <f>IF(AM42="-","-",VLOOKUP($E42,CTPit!$E$10:$AW$175,CE$9,FALSE)-AM42)</f>
        <v>-</v>
      </c>
      <c r="CF42" s="91" t="str">
        <f>IF(AN42="-","-",VLOOKUP($E42,CTPit!$E$10:$AW$175,CF$9,FALSE)-AN42)</f>
        <v>-</v>
      </c>
      <c r="CG42" s="91" t="e">
        <f>IF(AO42="-","-",VLOOKUP($E42,CTPit!$E$10:$AW$175,CG$9,FALSE)-AO42)</f>
        <v>#N/A</v>
      </c>
      <c r="CH42" s="91" t="e">
        <f>IF(AP42="-","-",VLOOKUP($E42,CTPit!$E$10:$AW$175,CH$9,FALSE)-AP42)</f>
        <v>#N/A</v>
      </c>
      <c r="CI42" s="91" t="str">
        <f>IF(AQ42="-","-",VLOOKUP($E42,CTPit!$E$10:$AW$175,CI$9,FALSE)-AQ42)</f>
        <v>-</v>
      </c>
      <c r="CJ42" s="91" t="str">
        <f>IF(AR42="-","-",VLOOKUP($E42,CTPit!$E$10:$AW$175,CJ$9,FALSE)-AR42)</f>
        <v>-</v>
      </c>
      <c r="CK42" t="e">
        <f t="shared" si="15"/>
        <v>#N/A</v>
      </c>
    </row>
    <row r="43" spans="3:89">
      <c r="C43" t="str">
        <f t="shared" ref="C43:C74" si="16">IF(OR(M43&gt;7,AND(M43&gt;4,N43&gt;5)),"K","T")</f>
        <v>K</v>
      </c>
      <c r="D43" t="s">
        <v>107</v>
      </c>
      <c r="E43" t="s">
        <v>474</v>
      </c>
      <c r="F43" t="s">
        <v>371</v>
      </c>
      <c r="G43" t="s">
        <v>208</v>
      </c>
      <c r="H43">
        <v>32</v>
      </c>
      <c r="I43" t="s">
        <v>103</v>
      </c>
      <c r="J43" s="219" t="s">
        <v>103</v>
      </c>
      <c r="K43" t="s">
        <v>42</v>
      </c>
      <c r="L43" t="s">
        <v>42</v>
      </c>
      <c r="M43" t="s">
        <v>226</v>
      </c>
      <c r="N43" s="219" t="s">
        <v>225</v>
      </c>
      <c r="O43">
        <v>4</v>
      </c>
      <c r="P43">
        <v>6</v>
      </c>
      <c r="Q43" s="219">
        <v>7</v>
      </c>
      <c r="R43">
        <v>4</v>
      </c>
      <c r="S43">
        <v>6</v>
      </c>
      <c r="T43" s="219">
        <v>7</v>
      </c>
      <c r="U43">
        <v>4</v>
      </c>
      <c r="V43">
        <v>4</v>
      </c>
      <c r="W43" t="s">
        <v>41</v>
      </c>
      <c r="X43" t="s">
        <v>41</v>
      </c>
      <c r="Y43" t="s">
        <v>41</v>
      </c>
      <c r="Z43" t="s">
        <v>41</v>
      </c>
      <c r="AA43">
        <v>4</v>
      </c>
      <c r="AB43">
        <v>4</v>
      </c>
      <c r="AC43" t="s">
        <v>41</v>
      </c>
      <c r="AD43" t="s">
        <v>41</v>
      </c>
      <c r="AE43" t="s">
        <v>41</v>
      </c>
      <c r="AF43" t="s">
        <v>41</v>
      </c>
      <c r="AG43">
        <v>4</v>
      </c>
      <c r="AH43">
        <v>4</v>
      </c>
      <c r="AI43" t="s">
        <v>41</v>
      </c>
      <c r="AJ43" t="s">
        <v>41</v>
      </c>
      <c r="AK43" t="s">
        <v>41</v>
      </c>
      <c r="AL43" t="s">
        <v>41</v>
      </c>
      <c r="AM43" t="s">
        <v>41</v>
      </c>
      <c r="AN43" t="s">
        <v>41</v>
      </c>
      <c r="AO43" t="s">
        <v>41</v>
      </c>
      <c r="AP43" t="s">
        <v>41</v>
      </c>
      <c r="AQ43" t="s">
        <v>41</v>
      </c>
      <c r="AR43" s="219" t="s">
        <v>41</v>
      </c>
      <c r="AS43" t="s">
        <v>0</v>
      </c>
      <c r="AT43">
        <v>3</v>
      </c>
      <c r="AU43" s="11">
        <v>0.39</v>
      </c>
      <c r="AV43" s="85" t="s">
        <v>41</v>
      </c>
      <c r="AW43" s="219">
        <v>1</v>
      </c>
      <c r="AX43" s="6">
        <f t="shared" ref="AX43:AX74" si="17">AVERAGE(O43:Q43)+0.25*MAX(0,(COUNT(U43,W43,Y43,AA43,AC43,AE43,AG43,AI43,AK43,AM43,AO43,AQ43)-3))+IF(AU43&gt;0.55,0.25,0)+IF(MAX(U43,W43,Y43,AA43,AC43,AE43,AG43,AI43,AK43,AM43,AO43,AQ43)&gt;5,0.25,0)</f>
        <v>5.666666666666667</v>
      </c>
      <c r="AY43" s="9" t="str">
        <f t="shared" ref="AY43:AY74" si="18">IF(AX43&gt;9,"SuperStar",IF(AX43&gt;8,"Star",IF(AX43&gt;6.5,"GoodReg",IF(AX43&gt;5,"Reg",IF(AX43&gt;4,"Bench","Minors")))))</f>
        <v>Reg</v>
      </c>
      <c r="AZ43" s="9">
        <f t="shared" ref="AZ43:AZ74" si="19">AVERAGE(R43:T43)+0.25*MAX(0,(COUNT(V43,X43,Z43,AB43,AD43,AF43,AH43,AJ43,AL43,AN43,AP43,AR43)-3))+IF(AU43&gt;0.55,0.25,0)+IF(MAX(V43,X43,Z43,AB43,AD43,AF43,AH43,AJ43,AL43,AN43,AP43,AR43)&gt;5,0.25,0)</f>
        <v>5.666666666666667</v>
      </c>
      <c r="BA43" s="9" t="str">
        <f t="shared" ref="BA43:BA74" si="20">IF(AZ43&gt;9,"SuperStar",IF(AZ43&gt;8,"Star",IF(AZ43&gt;6.5,"GoodReg",IF(AZ43&gt;5,"Reg",IF(AZ43&gt;4,"Bench","Minors")))))</f>
        <v>Reg</v>
      </c>
      <c r="BB43" s="9">
        <f t="shared" ref="BB43:BB74" si="21">MIN(AX43+(MAX(0,25-S43))^1.5,AZ43)</f>
        <v>5.666666666666667</v>
      </c>
      <c r="BC43" s="9" t="str">
        <f t="shared" ref="BC43:BC74" si="22">IF(BB43&gt;9,"SuperStar",IF(BB43&gt;8,"Star",IF(BB43&gt;6.5,"GoodReg",IF(BB43&gt;5,"Reg",IF(BB43&gt;4,"Bench","Minors")))))</f>
        <v>Reg</v>
      </c>
      <c r="BD43" s="84">
        <f t="shared" ref="BD43:BD74" si="23">COUNT(U43:AR43)/2</f>
        <v>3</v>
      </c>
      <c r="BE43" s="83">
        <f t="shared" ref="BE43:BE74" si="24">COUNTIF(U43:AR43,"&gt;5")/2</f>
        <v>0</v>
      </c>
      <c r="BF43" t="str">
        <f t="shared" ref="BF43:BF74" si="25">IF(AW43=1,"Yes","")</f>
        <v>Yes</v>
      </c>
      <c r="BG43" s="91">
        <f>IF(O43="-","-",VLOOKUP($E43,CTPit!$E$10:$AW$175,BG$9,FALSE)-O43)</f>
        <v>0</v>
      </c>
      <c r="BH43" s="91">
        <f>IF(P43="-","-",VLOOKUP($E43,CTPit!$E$10:$AW$175,BH$9,FALSE)-P43)</f>
        <v>0</v>
      </c>
      <c r="BI43" s="91">
        <f>IF(Q43="-","-",VLOOKUP($E43,CTPit!$E$10:$AW$175,BI$9,FALSE)-Q43)</f>
        <v>0</v>
      </c>
      <c r="BJ43" s="91">
        <f>IF(R43="-","-",VLOOKUP($E43,CTPit!$E$10:$AW$175,BJ$9,FALSE)-R43)</f>
        <v>0</v>
      </c>
      <c r="BK43" s="91">
        <f>IF(S43="-","-",VLOOKUP($E43,CTPit!$E$10:$AW$175,BK$9,FALSE)-S43)</f>
        <v>0</v>
      </c>
      <c r="BL43" s="91">
        <f>IF(T43="-","-",VLOOKUP($E43,CTPit!$E$10:$AW$175,BL$9,FALSE)-T43)</f>
        <v>0</v>
      </c>
      <c r="BM43" s="91">
        <f>IF(U43="-","-",VLOOKUP($E43,CTPit!$E$10:$AW$175,BM$9,FALSE)-U43)</f>
        <v>0</v>
      </c>
      <c r="BN43" s="91">
        <f>IF(V43="-","-",VLOOKUP($E43,CTPit!$E$10:$AW$175,BN$9,FALSE)-V43)</f>
        <v>0</v>
      </c>
      <c r="BO43" s="91" t="str">
        <f>IF(W43="-","-",VLOOKUP($E43,CTPit!$E$10:$AW$175,BO$9,FALSE)-W43)</f>
        <v>-</v>
      </c>
      <c r="BP43" s="91" t="str">
        <f>IF(X43="-","-",VLOOKUP($E43,CTPit!$E$10:$AW$175,BP$9,FALSE)-X43)</f>
        <v>-</v>
      </c>
      <c r="BQ43" s="91" t="str">
        <f>IF(Y43="-","-",VLOOKUP($E43,CTPit!$E$10:$AW$175,BQ$9,FALSE)-Y43)</f>
        <v>-</v>
      </c>
      <c r="BR43" s="91" t="str">
        <f>IF(Z43="-","-",VLOOKUP($E43,CTPit!$E$10:$AW$175,BR$9,FALSE)-Z43)</f>
        <v>-</v>
      </c>
      <c r="BS43" s="91">
        <f>IF(AA43="-","-",VLOOKUP($E43,CTPit!$E$10:$AW$175,BS$9,FALSE)-AA43)</f>
        <v>0</v>
      </c>
      <c r="BT43" s="91">
        <f>IF(AB43="-","-",VLOOKUP($E43,CTPit!$E$10:$AW$175,BT$9,FALSE)-AB43)</f>
        <v>0</v>
      </c>
      <c r="BU43" s="91" t="str">
        <f>IF(AC43="-","-",VLOOKUP($E43,CTPit!$E$10:$AW$175,BU$9,FALSE)-AC43)</f>
        <v>-</v>
      </c>
      <c r="BV43" s="91" t="str">
        <f>IF(AD43="-","-",VLOOKUP($E43,CTPit!$E$10:$AW$175,BV$9,FALSE)-AD43)</f>
        <v>-</v>
      </c>
      <c r="BW43" s="91" t="str">
        <f>IF(AE43="-","-",VLOOKUP($E43,CTPit!$E$10:$AW$175,BW$9,FALSE)-AE43)</f>
        <v>-</v>
      </c>
      <c r="BX43" s="91" t="str">
        <f>IF(AF43="-","-",VLOOKUP($E43,CTPit!$E$10:$AW$175,BX$9,FALSE)-AF43)</f>
        <v>-</v>
      </c>
      <c r="BY43" s="91">
        <f>IF(AG43="-","-",VLOOKUP($E43,CTPit!$E$10:$AW$175,BY$9,FALSE)-AG43)</f>
        <v>0</v>
      </c>
      <c r="BZ43" s="91">
        <f>IF(AH43="-","-",VLOOKUP($E43,CTPit!$E$10:$AW$175,BZ$9,FALSE)-AH43)</f>
        <v>0</v>
      </c>
      <c r="CA43" s="91" t="str">
        <f>IF(AI43="-","-",VLOOKUP($E43,CTPit!$E$10:$AW$175,CA$9,FALSE)-AI43)</f>
        <v>-</v>
      </c>
      <c r="CB43" s="91" t="str">
        <f>IF(AJ43="-","-",VLOOKUP($E43,CTPit!$E$10:$AW$175,CB$9,FALSE)-AJ43)</f>
        <v>-</v>
      </c>
      <c r="CC43" s="91" t="str">
        <f>IF(AK43="-","-",VLOOKUP($E43,CTPit!$E$10:$AW$175,CC$9,FALSE)-AK43)</f>
        <v>-</v>
      </c>
      <c r="CD43" s="91" t="str">
        <f>IF(AL43="-","-",VLOOKUP($E43,CTPit!$E$10:$AW$175,CD$9,FALSE)-AL43)</f>
        <v>-</v>
      </c>
      <c r="CE43" s="91" t="str">
        <f>IF(AM43="-","-",VLOOKUP($E43,CTPit!$E$10:$AW$175,CE$9,FALSE)-AM43)</f>
        <v>-</v>
      </c>
      <c r="CF43" s="91" t="str">
        <f>IF(AN43="-","-",VLOOKUP($E43,CTPit!$E$10:$AW$175,CF$9,FALSE)-AN43)</f>
        <v>-</v>
      </c>
      <c r="CG43" s="91" t="str">
        <f>IF(AO43="-","-",VLOOKUP($E43,CTPit!$E$10:$AW$175,CG$9,FALSE)-AO43)</f>
        <v>-</v>
      </c>
      <c r="CH43" s="91" t="str">
        <f>IF(AP43="-","-",VLOOKUP($E43,CTPit!$E$10:$AW$175,CH$9,FALSE)-AP43)</f>
        <v>-</v>
      </c>
      <c r="CI43" s="91" t="str">
        <f>IF(AQ43="-","-",VLOOKUP($E43,CTPit!$E$10:$AW$175,CI$9,FALSE)-AQ43)</f>
        <v>-</v>
      </c>
      <c r="CJ43" s="91" t="str">
        <f>IF(AR43="-","-",VLOOKUP($E43,CTPit!$E$10:$AW$175,CJ$9,FALSE)-AR43)</f>
        <v>-</v>
      </c>
      <c r="CK43">
        <f t="shared" ref="CK43:CK74" si="26">SUM(BG43:CJ43)</f>
        <v>0</v>
      </c>
    </row>
    <row r="44" spans="3:89">
      <c r="C44" t="str">
        <f t="shared" si="16"/>
        <v>K</v>
      </c>
      <c r="D44" t="s">
        <v>107</v>
      </c>
      <c r="E44" t="s">
        <v>12</v>
      </c>
      <c r="F44" t="s">
        <v>25</v>
      </c>
      <c r="G44" t="s">
        <v>207</v>
      </c>
      <c r="H44">
        <v>27</v>
      </c>
      <c r="I44" t="s">
        <v>104</v>
      </c>
      <c r="J44" s="219" t="s">
        <v>104</v>
      </c>
      <c r="K44" t="s">
        <v>42</v>
      </c>
      <c r="L44" t="s">
        <v>42</v>
      </c>
      <c r="M44" t="s">
        <v>225</v>
      </c>
      <c r="N44" s="219" t="s">
        <v>223</v>
      </c>
      <c r="O44">
        <v>5</v>
      </c>
      <c r="P44">
        <v>7</v>
      </c>
      <c r="Q44" s="219">
        <v>3</v>
      </c>
      <c r="R44">
        <v>5</v>
      </c>
      <c r="S44">
        <v>7</v>
      </c>
      <c r="T44" s="219">
        <v>4</v>
      </c>
      <c r="U44">
        <v>5</v>
      </c>
      <c r="V44">
        <v>5</v>
      </c>
      <c r="W44">
        <v>4</v>
      </c>
      <c r="X44">
        <v>4</v>
      </c>
      <c r="Y44" t="s">
        <v>41</v>
      </c>
      <c r="Z44" t="s">
        <v>41</v>
      </c>
      <c r="AA44">
        <v>3</v>
      </c>
      <c r="AB44">
        <v>3</v>
      </c>
      <c r="AC44">
        <v>5</v>
      </c>
      <c r="AD44">
        <v>6</v>
      </c>
      <c r="AE44" t="s">
        <v>41</v>
      </c>
      <c r="AF44" t="s">
        <v>41</v>
      </c>
      <c r="AG44" t="s">
        <v>41</v>
      </c>
      <c r="AH44" t="s">
        <v>41</v>
      </c>
      <c r="AI44" t="s">
        <v>41</v>
      </c>
      <c r="AJ44" t="s">
        <v>41</v>
      </c>
      <c r="AK44" t="s">
        <v>41</v>
      </c>
      <c r="AL44" t="s">
        <v>41</v>
      </c>
      <c r="AM44" t="s">
        <v>41</v>
      </c>
      <c r="AN44" t="s">
        <v>41</v>
      </c>
      <c r="AO44" t="s">
        <v>41</v>
      </c>
      <c r="AP44" t="s">
        <v>41</v>
      </c>
      <c r="AQ44" t="s">
        <v>41</v>
      </c>
      <c r="AR44" s="219" t="s">
        <v>41</v>
      </c>
      <c r="AS44" t="s">
        <v>2</v>
      </c>
      <c r="AT44">
        <v>2</v>
      </c>
      <c r="AU44" s="11">
        <v>0.62</v>
      </c>
      <c r="AV44" s="85">
        <v>490000</v>
      </c>
      <c r="AW44" s="219" t="s">
        <v>45</v>
      </c>
      <c r="AX44" s="6">
        <f t="shared" si="17"/>
        <v>5.5</v>
      </c>
      <c r="AY44" s="9" t="str">
        <f t="shared" si="18"/>
        <v>Reg</v>
      </c>
      <c r="AZ44" s="9">
        <f t="shared" si="19"/>
        <v>6.083333333333333</v>
      </c>
      <c r="BA44" s="9" t="str">
        <f t="shared" si="20"/>
        <v>Reg</v>
      </c>
      <c r="BB44" s="9">
        <f t="shared" si="21"/>
        <v>6.083333333333333</v>
      </c>
      <c r="BC44" s="9" t="str">
        <f t="shared" si="22"/>
        <v>Reg</v>
      </c>
      <c r="BD44" s="84">
        <f t="shared" si="23"/>
        <v>4</v>
      </c>
      <c r="BE44" s="83">
        <f t="shared" si="24"/>
        <v>0.5</v>
      </c>
      <c r="BF44" t="str">
        <f t="shared" si="25"/>
        <v/>
      </c>
      <c r="BG44" s="91">
        <f>IF(O44="-","-",VLOOKUP($E44,CTPit!$E$10:$AW$175,BG$9,FALSE)-O44)</f>
        <v>0</v>
      </c>
      <c r="BH44" s="91">
        <f>IF(P44="-","-",VLOOKUP($E44,CTPit!$E$10:$AW$175,BH$9,FALSE)-P44)</f>
        <v>0</v>
      </c>
      <c r="BI44" s="91">
        <f>IF(Q44="-","-",VLOOKUP($E44,CTPit!$E$10:$AW$175,BI$9,FALSE)-Q44)</f>
        <v>0</v>
      </c>
      <c r="BJ44" s="91">
        <f>IF(R44="-","-",VLOOKUP($E44,CTPit!$E$10:$AW$175,BJ$9,FALSE)-R44)</f>
        <v>0</v>
      </c>
      <c r="BK44" s="91">
        <f>IF(S44="-","-",VLOOKUP($E44,CTPit!$E$10:$AW$175,BK$9,FALSE)-S44)</f>
        <v>0</v>
      </c>
      <c r="BL44" s="91">
        <f>IF(T44="-","-",VLOOKUP($E44,CTPit!$E$10:$AW$175,BL$9,FALSE)-T44)</f>
        <v>0</v>
      </c>
      <c r="BM44" s="91">
        <f>IF(U44="-","-",VLOOKUP($E44,CTPit!$E$10:$AW$175,BM$9,FALSE)-U44)</f>
        <v>0</v>
      </c>
      <c r="BN44" s="91">
        <f>IF(V44="-","-",VLOOKUP($E44,CTPit!$E$10:$AW$175,BN$9,FALSE)-V44)</f>
        <v>0</v>
      </c>
      <c r="BO44" s="91">
        <f>IF(W44="-","-",VLOOKUP($E44,CTPit!$E$10:$AW$175,BO$9,FALSE)-W44)</f>
        <v>0</v>
      </c>
      <c r="BP44" s="91">
        <f>IF(X44="-","-",VLOOKUP($E44,CTPit!$E$10:$AW$175,BP$9,FALSE)-X44)</f>
        <v>0</v>
      </c>
      <c r="BQ44" s="91" t="str">
        <f>IF(Y44="-","-",VLOOKUP($E44,CTPit!$E$10:$AW$175,BQ$9,FALSE)-Y44)</f>
        <v>-</v>
      </c>
      <c r="BR44" s="91" t="str">
        <f>IF(Z44="-","-",VLOOKUP($E44,CTPit!$E$10:$AW$175,BR$9,FALSE)-Z44)</f>
        <v>-</v>
      </c>
      <c r="BS44" s="91">
        <f>IF(AA44="-","-",VLOOKUP($E44,CTPit!$E$10:$AW$175,BS$9,FALSE)-AA44)</f>
        <v>0</v>
      </c>
      <c r="BT44" s="91">
        <f>IF(AB44="-","-",VLOOKUP($E44,CTPit!$E$10:$AW$175,BT$9,FALSE)-AB44)</f>
        <v>0</v>
      </c>
      <c r="BU44" s="91">
        <f>IF(AC44="-","-",VLOOKUP($E44,CTPit!$E$10:$AW$175,BU$9,FALSE)-AC44)</f>
        <v>0</v>
      </c>
      <c r="BV44" s="91">
        <f>IF(AD44="-","-",VLOOKUP($E44,CTPit!$E$10:$AW$175,BV$9,FALSE)-AD44)</f>
        <v>0</v>
      </c>
      <c r="BW44" s="91" t="str">
        <f>IF(AE44="-","-",VLOOKUP($E44,CTPit!$E$10:$AW$175,BW$9,FALSE)-AE44)</f>
        <v>-</v>
      </c>
      <c r="BX44" s="91" t="str">
        <f>IF(AF44="-","-",VLOOKUP($E44,CTPit!$E$10:$AW$175,BX$9,FALSE)-AF44)</f>
        <v>-</v>
      </c>
      <c r="BY44" s="91" t="str">
        <f>IF(AG44="-","-",VLOOKUP($E44,CTPit!$E$10:$AW$175,BY$9,FALSE)-AG44)</f>
        <v>-</v>
      </c>
      <c r="BZ44" s="91" t="str">
        <f>IF(AH44="-","-",VLOOKUP($E44,CTPit!$E$10:$AW$175,BZ$9,FALSE)-AH44)</f>
        <v>-</v>
      </c>
      <c r="CA44" s="91" t="str">
        <f>IF(AI44="-","-",VLOOKUP($E44,CTPit!$E$10:$AW$175,CA$9,FALSE)-AI44)</f>
        <v>-</v>
      </c>
      <c r="CB44" s="91" t="str">
        <f>IF(AJ44="-","-",VLOOKUP($E44,CTPit!$E$10:$AW$175,CB$9,FALSE)-AJ44)</f>
        <v>-</v>
      </c>
      <c r="CC44" s="91" t="str">
        <f>IF(AK44="-","-",VLOOKUP($E44,CTPit!$E$10:$AW$175,CC$9,FALSE)-AK44)</f>
        <v>-</v>
      </c>
      <c r="CD44" s="91" t="str">
        <f>IF(AL44="-","-",VLOOKUP($E44,CTPit!$E$10:$AW$175,CD$9,FALSE)-AL44)</f>
        <v>-</v>
      </c>
      <c r="CE44" s="91" t="str">
        <f>IF(AM44="-","-",VLOOKUP($E44,CTPit!$E$10:$AW$175,CE$9,FALSE)-AM44)</f>
        <v>-</v>
      </c>
      <c r="CF44" s="91" t="str">
        <f>IF(AN44="-","-",VLOOKUP($E44,CTPit!$E$10:$AW$175,CF$9,FALSE)-AN44)</f>
        <v>-</v>
      </c>
      <c r="CG44" s="91" t="str">
        <f>IF(AO44="-","-",VLOOKUP($E44,CTPit!$E$10:$AW$175,CG$9,FALSE)-AO44)</f>
        <v>-</v>
      </c>
      <c r="CH44" s="91" t="str">
        <f>IF(AP44="-","-",VLOOKUP($E44,CTPit!$E$10:$AW$175,CH$9,FALSE)-AP44)</f>
        <v>-</v>
      </c>
      <c r="CI44" s="91" t="str">
        <f>IF(AQ44="-","-",VLOOKUP($E44,CTPit!$E$10:$AW$175,CI$9,FALSE)-AQ44)</f>
        <v>-</v>
      </c>
      <c r="CJ44" s="91" t="str">
        <f>IF(AR44="-","-",VLOOKUP($E44,CTPit!$E$10:$AW$175,CJ$9,FALSE)-AR44)</f>
        <v>-</v>
      </c>
      <c r="CK44">
        <f t="shared" si="26"/>
        <v>0</v>
      </c>
    </row>
    <row r="45" spans="3:89">
      <c r="C45" t="str">
        <f t="shared" si="16"/>
        <v>K</v>
      </c>
      <c r="D45" t="s">
        <v>107</v>
      </c>
      <c r="E45" t="s">
        <v>500</v>
      </c>
      <c r="F45" t="s">
        <v>371</v>
      </c>
      <c r="G45" t="s">
        <v>208</v>
      </c>
      <c r="H45">
        <v>31</v>
      </c>
      <c r="I45" t="s">
        <v>103</v>
      </c>
      <c r="J45" s="219" t="s">
        <v>103</v>
      </c>
      <c r="K45" t="s">
        <v>47</v>
      </c>
      <c r="L45" t="s">
        <v>47</v>
      </c>
      <c r="M45" t="s">
        <v>226</v>
      </c>
      <c r="N45" s="219" t="s">
        <v>223</v>
      </c>
      <c r="O45">
        <v>3</v>
      </c>
      <c r="P45">
        <v>5</v>
      </c>
      <c r="Q45" s="219">
        <v>7</v>
      </c>
      <c r="R45">
        <v>3</v>
      </c>
      <c r="S45">
        <v>5</v>
      </c>
      <c r="T45" s="219">
        <v>7</v>
      </c>
      <c r="U45">
        <v>4</v>
      </c>
      <c r="V45">
        <v>4</v>
      </c>
      <c r="W45">
        <v>3</v>
      </c>
      <c r="X45">
        <v>3</v>
      </c>
      <c r="Y45">
        <v>3</v>
      </c>
      <c r="Z45">
        <v>3</v>
      </c>
      <c r="AA45">
        <v>3</v>
      </c>
      <c r="AB45">
        <v>3</v>
      </c>
      <c r="AC45" t="s">
        <v>41</v>
      </c>
      <c r="AD45" t="s">
        <v>41</v>
      </c>
      <c r="AE45" t="s">
        <v>41</v>
      </c>
      <c r="AF45" t="s">
        <v>41</v>
      </c>
      <c r="AG45" t="s">
        <v>41</v>
      </c>
      <c r="AH45" t="s">
        <v>41</v>
      </c>
      <c r="AI45" t="s">
        <v>41</v>
      </c>
      <c r="AJ45" t="s">
        <v>41</v>
      </c>
      <c r="AK45">
        <v>2</v>
      </c>
      <c r="AL45">
        <v>2</v>
      </c>
      <c r="AM45" t="s">
        <v>41</v>
      </c>
      <c r="AN45" t="s">
        <v>41</v>
      </c>
      <c r="AO45" t="s">
        <v>41</v>
      </c>
      <c r="AP45" t="s">
        <v>41</v>
      </c>
      <c r="AQ45" t="s">
        <v>41</v>
      </c>
      <c r="AR45" s="219" t="s">
        <v>41</v>
      </c>
      <c r="AS45" t="s">
        <v>1</v>
      </c>
      <c r="AT45">
        <v>9</v>
      </c>
      <c r="AU45" s="11">
        <v>0.44</v>
      </c>
      <c r="AV45" s="85" t="s">
        <v>41</v>
      </c>
      <c r="AW45" s="219">
        <v>0</v>
      </c>
      <c r="AX45" s="6">
        <f t="shared" si="17"/>
        <v>5.5</v>
      </c>
      <c r="AY45" s="9" t="str">
        <f t="shared" si="18"/>
        <v>Reg</v>
      </c>
      <c r="AZ45" s="9">
        <f t="shared" si="19"/>
        <v>5.5</v>
      </c>
      <c r="BA45" s="9" t="str">
        <f t="shared" si="20"/>
        <v>Reg</v>
      </c>
      <c r="BB45" s="9">
        <f t="shared" si="21"/>
        <v>5.5</v>
      </c>
      <c r="BC45" s="9" t="str">
        <f t="shared" si="22"/>
        <v>Reg</v>
      </c>
      <c r="BD45" s="84">
        <f t="shared" si="23"/>
        <v>5</v>
      </c>
      <c r="BE45" s="83">
        <f t="shared" si="24"/>
        <v>0</v>
      </c>
      <c r="BF45" t="str">
        <f t="shared" si="25"/>
        <v/>
      </c>
      <c r="BG45" s="91" t="e">
        <f>IF(O45="-","-",VLOOKUP($E45,CTPit!$E$10:$AW$175,BG$9,FALSE)-O45)</f>
        <v>#N/A</v>
      </c>
      <c r="BH45" s="91" t="e">
        <f>IF(P45="-","-",VLOOKUP($E45,CTPit!$E$10:$AW$175,BH$9,FALSE)-P45)</f>
        <v>#N/A</v>
      </c>
      <c r="BI45" s="91" t="e">
        <f>IF(Q45="-","-",VLOOKUP($E45,CTPit!$E$10:$AW$175,BI$9,FALSE)-Q45)</f>
        <v>#N/A</v>
      </c>
      <c r="BJ45" s="91" t="e">
        <f>IF(R45="-","-",VLOOKUP($E45,CTPit!$E$10:$AW$175,BJ$9,FALSE)-R45)</f>
        <v>#N/A</v>
      </c>
      <c r="BK45" s="91" t="e">
        <f>IF(S45="-","-",VLOOKUP($E45,CTPit!$E$10:$AW$175,BK$9,FALSE)-S45)</f>
        <v>#N/A</v>
      </c>
      <c r="BL45" s="91" t="e">
        <f>IF(T45="-","-",VLOOKUP($E45,CTPit!$E$10:$AW$175,BL$9,FALSE)-T45)</f>
        <v>#N/A</v>
      </c>
      <c r="BM45" s="91" t="e">
        <f>IF(U45="-","-",VLOOKUP($E45,CTPit!$E$10:$AW$175,BM$9,FALSE)-U45)</f>
        <v>#N/A</v>
      </c>
      <c r="BN45" s="91" t="e">
        <f>IF(V45="-","-",VLOOKUP($E45,CTPit!$E$10:$AW$175,BN$9,FALSE)-V45)</f>
        <v>#N/A</v>
      </c>
      <c r="BO45" s="91" t="e">
        <f>IF(W45="-","-",VLOOKUP($E45,CTPit!$E$10:$AW$175,BO$9,FALSE)-W45)</f>
        <v>#N/A</v>
      </c>
      <c r="BP45" s="91" t="e">
        <f>IF(X45="-","-",VLOOKUP($E45,CTPit!$E$10:$AW$175,BP$9,FALSE)-X45)</f>
        <v>#N/A</v>
      </c>
      <c r="BQ45" s="91" t="e">
        <f>IF(Y45="-","-",VLOOKUP($E45,CTPit!$E$10:$AW$175,BQ$9,FALSE)-Y45)</f>
        <v>#N/A</v>
      </c>
      <c r="BR45" s="91" t="e">
        <f>IF(Z45="-","-",VLOOKUP($E45,CTPit!$E$10:$AW$175,BR$9,FALSE)-Z45)</f>
        <v>#N/A</v>
      </c>
      <c r="BS45" s="91" t="e">
        <f>IF(AA45="-","-",VLOOKUP($E45,CTPit!$E$10:$AW$175,BS$9,FALSE)-AA45)</f>
        <v>#N/A</v>
      </c>
      <c r="BT45" s="91" t="e">
        <f>IF(AB45="-","-",VLOOKUP($E45,CTPit!$E$10:$AW$175,BT$9,FALSE)-AB45)</f>
        <v>#N/A</v>
      </c>
      <c r="BU45" s="91" t="str">
        <f>IF(AC45="-","-",VLOOKUP($E45,CTPit!$E$10:$AW$175,BU$9,FALSE)-AC45)</f>
        <v>-</v>
      </c>
      <c r="BV45" s="91" t="str">
        <f>IF(AD45="-","-",VLOOKUP($E45,CTPit!$E$10:$AW$175,BV$9,FALSE)-AD45)</f>
        <v>-</v>
      </c>
      <c r="BW45" s="91" t="str">
        <f>IF(AE45="-","-",VLOOKUP($E45,CTPit!$E$10:$AW$175,BW$9,FALSE)-AE45)</f>
        <v>-</v>
      </c>
      <c r="BX45" s="91" t="str">
        <f>IF(AF45="-","-",VLOOKUP($E45,CTPit!$E$10:$AW$175,BX$9,FALSE)-AF45)</f>
        <v>-</v>
      </c>
      <c r="BY45" s="91" t="str">
        <f>IF(AG45="-","-",VLOOKUP($E45,CTPit!$E$10:$AW$175,BY$9,FALSE)-AG45)</f>
        <v>-</v>
      </c>
      <c r="BZ45" s="91" t="str">
        <f>IF(AH45="-","-",VLOOKUP($E45,CTPit!$E$10:$AW$175,BZ$9,FALSE)-AH45)</f>
        <v>-</v>
      </c>
      <c r="CA45" s="91" t="str">
        <f>IF(AI45="-","-",VLOOKUP($E45,CTPit!$E$10:$AW$175,CA$9,FALSE)-AI45)</f>
        <v>-</v>
      </c>
      <c r="CB45" s="91" t="str">
        <f>IF(AJ45="-","-",VLOOKUP($E45,CTPit!$E$10:$AW$175,CB$9,FALSE)-AJ45)</f>
        <v>-</v>
      </c>
      <c r="CC45" s="91" t="e">
        <f>IF(AK45="-","-",VLOOKUP($E45,CTPit!$E$10:$AW$175,CC$9,FALSE)-AK45)</f>
        <v>#N/A</v>
      </c>
      <c r="CD45" s="91" t="e">
        <f>IF(AL45="-","-",VLOOKUP($E45,CTPit!$E$10:$AW$175,CD$9,FALSE)-AL45)</f>
        <v>#N/A</v>
      </c>
      <c r="CE45" s="91" t="str">
        <f>IF(AM45="-","-",VLOOKUP($E45,CTPit!$E$10:$AW$175,CE$9,FALSE)-AM45)</f>
        <v>-</v>
      </c>
      <c r="CF45" s="91" t="str">
        <f>IF(AN45="-","-",VLOOKUP($E45,CTPit!$E$10:$AW$175,CF$9,FALSE)-AN45)</f>
        <v>-</v>
      </c>
      <c r="CG45" s="91" t="str">
        <f>IF(AO45="-","-",VLOOKUP($E45,CTPit!$E$10:$AW$175,CG$9,FALSE)-AO45)</f>
        <v>-</v>
      </c>
      <c r="CH45" s="91" t="str">
        <f>IF(AP45="-","-",VLOOKUP($E45,CTPit!$E$10:$AW$175,CH$9,FALSE)-AP45)</f>
        <v>-</v>
      </c>
      <c r="CI45" s="91" t="str">
        <f>IF(AQ45="-","-",VLOOKUP($E45,CTPit!$E$10:$AW$175,CI$9,FALSE)-AQ45)</f>
        <v>-</v>
      </c>
      <c r="CJ45" s="91" t="str">
        <f>IF(AR45="-","-",VLOOKUP($E45,CTPit!$E$10:$AW$175,CJ$9,FALSE)-AR45)</f>
        <v>-</v>
      </c>
      <c r="CK45" t="e">
        <f t="shared" si="26"/>
        <v>#N/A</v>
      </c>
    </row>
    <row r="46" spans="3:89">
      <c r="C46" t="str">
        <f t="shared" si="16"/>
        <v>K</v>
      </c>
      <c r="D46" t="s">
        <v>107</v>
      </c>
      <c r="E46" t="s">
        <v>505</v>
      </c>
      <c r="F46" t="s">
        <v>373</v>
      </c>
      <c r="G46" t="s">
        <v>210</v>
      </c>
      <c r="H46">
        <v>35</v>
      </c>
      <c r="I46" t="s">
        <v>104</v>
      </c>
      <c r="J46" s="219" t="s">
        <v>103</v>
      </c>
      <c r="K46" t="s">
        <v>42</v>
      </c>
      <c r="L46" t="s">
        <v>42</v>
      </c>
      <c r="M46" t="s">
        <v>224</v>
      </c>
      <c r="N46" s="219" t="s">
        <v>224</v>
      </c>
      <c r="O46">
        <v>4</v>
      </c>
      <c r="P46">
        <v>5</v>
      </c>
      <c r="Q46" s="219">
        <v>7</v>
      </c>
      <c r="R46">
        <v>4</v>
      </c>
      <c r="S46">
        <v>6</v>
      </c>
      <c r="T46" s="219">
        <v>7</v>
      </c>
      <c r="U46">
        <v>4</v>
      </c>
      <c r="V46">
        <v>4</v>
      </c>
      <c r="W46">
        <v>3</v>
      </c>
      <c r="X46">
        <v>3</v>
      </c>
      <c r="Y46" t="s">
        <v>41</v>
      </c>
      <c r="Z46" t="s">
        <v>41</v>
      </c>
      <c r="AA46">
        <v>3</v>
      </c>
      <c r="AB46">
        <v>4</v>
      </c>
      <c r="AC46" t="s">
        <v>41</v>
      </c>
      <c r="AD46" t="s">
        <v>41</v>
      </c>
      <c r="AE46" t="s">
        <v>41</v>
      </c>
      <c r="AF46" t="s">
        <v>41</v>
      </c>
      <c r="AG46" t="s">
        <v>41</v>
      </c>
      <c r="AH46" t="s">
        <v>41</v>
      </c>
      <c r="AI46" t="s">
        <v>41</v>
      </c>
      <c r="AJ46" t="s">
        <v>41</v>
      </c>
      <c r="AK46" t="s">
        <v>41</v>
      </c>
      <c r="AL46" t="s">
        <v>41</v>
      </c>
      <c r="AM46" t="s">
        <v>41</v>
      </c>
      <c r="AN46" t="s">
        <v>41</v>
      </c>
      <c r="AO46" t="s">
        <v>41</v>
      </c>
      <c r="AP46" t="s">
        <v>41</v>
      </c>
      <c r="AQ46" t="s">
        <v>41</v>
      </c>
      <c r="AR46" s="219" t="s">
        <v>41</v>
      </c>
      <c r="AS46" t="s">
        <v>506</v>
      </c>
      <c r="AT46">
        <v>5</v>
      </c>
      <c r="AU46" s="11">
        <v>0.44</v>
      </c>
      <c r="AV46" s="85" t="s">
        <v>41</v>
      </c>
      <c r="AW46" s="219">
        <v>1</v>
      </c>
      <c r="AX46" s="6">
        <f t="shared" si="17"/>
        <v>5.333333333333333</v>
      </c>
      <c r="AY46" s="9" t="str">
        <f t="shared" si="18"/>
        <v>Reg</v>
      </c>
      <c r="AZ46" s="9">
        <f t="shared" si="19"/>
        <v>5.666666666666667</v>
      </c>
      <c r="BA46" s="9" t="str">
        <f t="shared" si="20"/>
        <v>Reg</v>
      </c>
      <c r="BB46" s="9">
        <f t="shared" si="21"/>
        <v>5.666666666666667</v>
      </c>
      <c r="BC46" s="9" t="str">
        <f t="shared" si="22"/>
        <v>Reg</v>
      </c>
      <c r="BD46" s="84">
        <f t="shared" si="23"/>
        <v>3</v>
      </c>
      <c r="BE46" s="83">
        <f t="shared" si="24"/>
        <v>0</v>
      </c>
      <c r="BF46" t="str">
        <f t="shared" si="25"/>
        <v>Yes</v>
      </c>
      <c r="BG46" s="91" t="e">
        <f>IF(O46="-","-",VLOOKUP($E46,CTPit!$E$10:$AW$175,BG$9,FALSE)-O46)</f>
        <v>#N/A</v>
      </c>
      <c r="BH46" s="91" t="e">
        <f>IF(P46="-","-",VLOOKUP($E46,CTPit!$E$10:$AW$175,BH$9,FALSE)-P46)</f>
        <v>#N/A</v>
      </c>
      <c r="BI46" s="91" t="e">
        <f>IF(Q46="-","-",VLOOKUP($E46,CTPit!$E$10:$AW$175,BI$9,FALSE)-Q46)</f>
        <v>#N/A</v>
      </c>
      <c r="BJ46" s="91" t="e">
        <f>IF(R46="-","-",VLOOKUP($E46,CTPit!$E$10:$AW$175,BJ$9,FALSE)-R46)</f>
        <v>#N/A</v>
      </c>
      <c r="BK46" s="91" t="e">
        <f>IF(S46="-","-",VLOOKUP($E46,CTPit!$E$10:$AW$175,BK$9,FALSE)-S46)</f>
        <v>#N/A</v>
      </c>
      <c r="BL46" s="91" t="e">
        <f>IF(T46="-","-",VLOOKUP($E46,CTPit!$E$10:$AW$175,BL$9,FALSE)-T46)</f>
        <v>#N/A</v>
      </c>
      <c r="BM46" s="91" t="e">
        <f>IF(U46="-","-",VLOOKUP($E46,CTPit!$E$10:$AW$175,BM$9,FALSE)-U46)</f>
        <v>#N/A</v>
      </c>
      <c r="BN46" s="91" t="e">
        <f>IF(V46="-","-",VLOOKUP($E46,CTPit!$E$10:$AW$175,BN$9,FALSE)-V46)</f>
        <v>#N/A</v>
      </c>
      <c r="BO46" s="91" t="e">
        <f>IF(W46="-","-",VLOOKUP($E46,CTPit!$E$10:$AW$175,BO$9,FALSE)-W46)</f>
        <v>#N/A</v>
      </c>
      <c r="BP46" s="91" t="e">
        <f>IF(X46="-","-",VLOOKUP($E46,CTPit!$E$10:$AW$175,BP$9,FALSE)-X46)</f>
        <v>#N/A</v>
      </c>
      <c r="BQ46" s="91" t="str">
        <f>IF(Y46="-","-",VLOOKUP($E46,CTPit!$E$10:$AW$175,BQ$9,FALSE)-Y46)</f>
        <v>-</v>
      </c>
      <c r="BR46" s="91" t="str">
        <f>IF(Z46="-","-",VLOOKUP($E46,CTPit!$E$10:$AW$175,BR$9,FALSE)-Z46)</f>
        <v>-</v>
      </c>
      <c r="BS46" s="91" t="e">
        <f>IF(AA46="-","-",VLOOKUP($E46,CTPit!$E$10:$AW$175,BS$9,FALSE)-AA46)</f>
        <v>#N/A</v>
      </c>
      <c r="BT46" s="91" t="e">
        <f>IF(AB46="-","-",VLOOKUP($E46,CTPit!$E$10:$AW$175,BT$9,FALSE)-AB46)</f>
        <v>#N/A</v>
      </c>
      <c r="BU46" s="91" t="str">
        <f>IF(AC46="-","-",VLOOKUP($E46,CTPit!$E$10:$AW$175,BU$9,FALSE)-AC46)</f>
        <v>-</v>
      </c>
      <c r="BV46" s="91" t="str">
        <f>IF(AD46="-","-",VLOOKUP($E46,CTPit!$E$10:$AW$175,BV$9,FALSE)-AD46)</f>
        <v>-</v>
      </c>
      <c r="BW46" s="91" t="str">
        <f>IF(AE46="-","-",VLOOKUP($E46,CTPit!$E$10:$AW$175,BW$9,FALSE)-AE46)</f>
        <v>-</v>
      </c>
      <c r="BX46" s="91" t="str">
        <f>IF(AF46="-","-",VLOOKUP($E46,CTPit!$E$10:$AW$175,BX$9,FALSE)-AF46)</f>
        <v>-</v>
      </c>
      <c r="BY46" s="91" t="str">
        <f>IF(AG46="-","-",VLOOKUP($E46,CTPit!$E$10:$AW$175,BY$9,FALSE)-AG46)</f>
        <v>-</v>
      </c>
      <c r="BZ46" s="91" t="str">
        <f>IF(AH46="-","-",VLOOKUP($E46,CTPit!$E$10:$AW$175,BZ$9,FALSE)-AH46)</f>
        <v>-</v>
      </c>
      <c r="CA46" s="91" t="str">
        <f>IF(AI46="-","-",VLOOKUP($E46,CTPit!$E$10:$AW$175,CA$9,FALSE)-AI46)</f>
        <v>-</v>
      </c>
      <c r="CB46" s="91" t="str">
        <f>IF(AJ46="-","-",VLOOKUP($E46,CTPit!$E$10:$AW$175,CB$9,FALSE)-AJ46)</f>
        <v>-</v>
      </c>
      <c r="CC46" s="91" t="str">
        <f>IF(AK46="-","-",VLOOKUP($E46,CTPit!$E$10:$AW$175,CC$9,FALSE)-AK46)</f>
        <v>-</v>
      </c>
      <c r="CD46" s="91" t="str">
        <f>IF(AL46="-","-",VLOOKUP($E46,CTPit!$E$10:$AW$175,CD$9,FALSE)-AL46)</f>
        <v>-</v>
      </c>
      <c r="CE46" s="91" t="str">
        <f>IF(AM46="-","-",VLOOKUP($E46,CTPit!$E$10:$AW$175,CE$9,FALSE)-AM46)</f>
        <v>-</v>
      </c>
      <c r="CF46" s="91" t="str">
        <f>IF(AN46="-","-",VLOOKUP($E46,CTPit!$E$10:$AW$175,CF$9,FALSE)-AN46)</f>
        <v>-</v>
      </c>
      <c r="CG46" s="91" t="str">
        <f>IF(AO46="-","-",VLOOKUP($E46,CTPit!$E$10:$AW$175,CG$9,FALSE)-AO46)</f>
        <v>-</v>
      </c>
      <c r="CH46" s="91" t="str">
        <f>IF(AP46="-","-",VLOOKUP($E46,CTPit!$E$10:$AW$175,CH$9,FALSE)-AP46)</f>
        <v>-</v>
      </c>
      <c r="CI46" s="91" t="str">
        <f>IF(AQ46="-","-",VLOOKUP($E46,CTPit!$E$10:$AW$175,CI$9,FALSE)-AQ46)</f>
        <v>-</v>
      </c>
      <c r="CJ46" s="91" t="str">
        <f>IF(AR46="-","-",VLOOKUP($E46,CTPit!$E$10:$AW$175,CJ$9,FALSE)-AR46)</f>
        <v>-</v>
      </c>
      <c r="CK46" t="e">
        <f t="shared" si="26"/>
        <v>#N/A</v>
      </c>
    </row>
    <row r="47" spans="3:89">
      <c r="C47" t="str">
        <f t="shared" si="16"/>
        <v>K</v>
      </c>
      <c r="D47" t="s">
        <v>107</v>
      </c>
      <c r="E47" t="s">
        <v>511</v>
      </c>
      <c r="F47" t="s">
        <v>372</v>
      </c>
      <c r="G47" t="s">
        <v>209</v>
      </c>
      <c r="H47">
        <v>31</v>
      </c>
      <c r="I47" t="s">
        <v>104</v>
      </c>
      <c r="J47" s="219" t="s">
        <v>103</v>
      </c>
      <c r="K47" t="s">
        <v>42</v>
      </c>
      <c r="L47" t="s">
        <v>42</v>
      </c>
      <c r="M47" t="s">
        <v>224</v>
      </c>
      <c r="N47" s="219" t="s">
        <v>227</v>
      </c>
      <c r="O47">
        <v>4</v>
      </c>
      <c r="P47">
        <v>5</v>
      </c>
      <c r="Q47" s="219">
        <v>7</v>
      </c>
      <c r="R47">
        <v>4</v>
      </c>
      <c r="S47">
        <v>5</v>
      </c>
      <c r="T47" s="219">
        <v>7</v>
      </c>
      <c r="U47">
        <v>4</v>
      </c>
      <c r="V47">
        <v>4</v>
      </c>
      <c r="W47">
        <v>4</v>
      </c>
      <c r="X47">
        <v>4</v>
      </c>
      <c r="Y47">
        <v>5</v>
      </c>
      <c r="Z47">
        <v>5</v>
      </c>
      <c r="AA47" t="s">
        <v>41</v>
      </c>
      <c r="AB47" t="s">
        <v>41</v>
      </c>
      <c r="AC47" t="s">
        <v>41</v>
      </c>
      <c r="AD47" t="s">
        <v>41</v>
      </c>
      <c r="AE47" t="s">
        <v>41</v>
      </c>
      <c r="AF47" t="s">
        <v>41</v>
      </c>
      <c r="AG47" t="s">
        <v>41</v>
      </c>
      <c r="AH47" t="s">
        <v>41</v>
      </c>
      <c r="AI47" t="s">
        <v>41</v>
      </c>
      <c r="AJ47" t="s">
        <v>41</v>
      </c>
      <c r="AK47" t="s">
        <v>41</v>
      </c>
      <c r="AL47" t="s">
        <v>41</v>
      </c>
      <c r="AM47" t="s">
        <v>41</v>
      </c>
      <c r="AN47" t="s">
        <v>41</v>
      </c>
      <c r="AO47" t="s">
        <v>41</v>
      </c>
      <c r="AP47" t="s">
        <v>41</v>
      </c>
      <c r="AQ47" t="s">
        <v>41</v>
      </c>
      <c r="AR47" s="219" t="s">
        <v>41</v>
      </c>
      <c r="AS47" t="s">
        <v>0</v>
      </c>
      <c r="AT47">
        <v>2</v>
      </c>
      <c r="AU47" s="11">
        <v>0.52</v>
      </c>
      <c r="AV47" s="85" t="s">
        <v>41</v>
      </c>
      <c r="AW47" s="219" t="s">
        <v>45</v>
      </c>
      <c r="AX47" s="6">
        <f t="shared" si="17"/>
        <v>5.333333333333333</v>
      </c>
      <c r="AY47" s="9" t="str">
        <f t="shared" si="18"/>
        <v>Reg</v>
      </c>
      <c r="AZ47" s="9">
        <f t="shared" si="19"/>
        <v>5.333333333333333</v>
      </c>
      <c r="BA47" s="9" t="str">
        <f t="shared" si="20"/>
        <v>Reg</v>
      </c>
      <c r="BB47" s="9">
        <f t="shared" si="21"/>
        <v>5.333333333333333</v>
      </c>
      <c r="BC47" s="9" t="str">
        <f t="shared" si="22"/>
        <v>Reg</v>
      </c>
      <c r="BD47" s="84">
        <f t="shared" si="23"/>
        <v>3</v>
      </c>
      <c r="BE47" s="83">
        <f t="shared" si="24"/>
        <v>0</v>
      </c>
      <c r="BF47" t="str">
        <f t="shared" si="25"/>
        <v/>
      </c>
      <c r="BG47" s="91" t="e">
        <f>IF(O47="-","-",VLOOKUP($E47,CTPit!$E$10:$AW$175,BG$9,FALSE)-O47)</f>
        <v>#N/A</v>
      </c>
      <c r="BH47" s="91" t="e">
        <f>IF(P47="-","-",VLOOKUP($E47,CTPit!$E$10:$AW$175,BH$9,FALSE)-P47)</f>
        <v>#N/A</v>
      </c>
      <c r="BI47" s="91" t="e">
        <f>IF(Q47="-","-",VLOOKUP($E47,CTPit!$E$10:$AW$175,BI$9,FALSE)-Q47)</f>
        <v>#N/A</v>
      </c>
      <c r="BJ47" s="91" t="e">
        <f>IF(R47="-","-",VLOOKUP($E47,CTPit!$E$10:$AW$175,BJ$9,FALSE)-R47)</f>
        <v>#N/A</v>
      </c>
      <c r="BK47" s="91" t="e">
        <f>IF(S47="-","-",VLOOKUP($E47,CTPit!$E$10:$AW$175,BK$9,FALSE)-S47)</f>
        <v>#N/A</v>
      </c>
      <c r="BL47" s="91" t="e">
        <f>IF(T47="-","-",VLOOKUP($E47,CTPit!$E$10:$AW$175,BL$9,FALSE)-T47)</f>
        <v>#N/A</v>
      </c>
      <c r="BM47" s="91" t="e">
        <f>IF(U47="-","-",VLOOKUP($E47,CTPit!$E$10:$AW$175,BM$9,FALSE)-U47)</f>
        <v>#N/A</v>
      </c>
      <c r="BN47" s="91" t="e">
        <f>IF(V47="-","-",VLOOKUP($E47,CTPit!$E$10:$AW$175,BN$9,FALSE)-V47)</f>
        <v>#N/A</v>
      </c>
      <c r="BO47" s="91" t="e">
        <f>IF(W47="-","-",VLOOKUP($E47,CTPit!$E$10:$AW$175,BO$9,FALSE)-W47)</f>
        <v>#N/A</v>
      </c>
      <c r="BP47" s="91" t="e">
        <f>IF(X47="-","-",VLOOKUP($E47,CTPit!$E$10:$AW$175,BP$9,FALSE)-X47)</f>
        <v>#N/A</v>
      </c>
      <c r="BQ47" s="91" t="e">
        <f>IF(Y47="-","-",VLOOKUP($E47,CTPit!$E$10:$AW$175,BQ$9,FALSE)-Y47)</f>
        <v>#N/A</v>
      </c>
      <c r="BR47" s="91" t="e">
        <f>IF(Z47="-","-",VLOOKUP($E47,CTPit!$E$10:$AW$175,BR$9,FALSE)-Z47)</f>
        <v>#N/A</v>
      </c>
      <c r="BS47" s="91" t="str">
        <f>IF(AA47="-","-",VLOOKUP($E47,CTPit!$E$10:$AW$175,BS$9,FALSE)-AA47)</f>
        <v>-</v>
      </c>
      <c r="BT47" s="91" t="str">
        <f>IF(AB47="-","-",VLOOKUP($E47,CTPit!$E$10:$AW$175,BT$9,FALSE)-AB47)</f>
        <v>-</v>
      </c>
      <c r="BU47" s="91" t="str">
        <f>IF(AC47="-","-",VLOOKUP($E47,CTPit!$E$10:$AW$175,BU$9,FALSE)-AC47)</f>
        <v>-</v>
      </c>
      <c r="BV47" s="91" t="str">
        <f>IF(AD47="-","-",VLOOKUP($E47,CTPit!$E$10:$AW$175,BV$9,FALSE)-AD47)</f>
        <v>-</v>
      </c>
      <c r="BW47" s="91" t="str">
        <f>IF(AE47="-","-",VLOOKUP($E47,CTPit!$E$10:$AW$175,BW$9,FALSE)-AE47)</f>
        <v>-</v>
      </c>
      <c r="BX47" s="91" t="str">
        <f>IF(AF47="-","-",VLOOKUP($E47,CTPit!$E$10:$AW$175,BX$9,FALSE)-AF47)</f>
        <v>-</v>
      </c>
      <c r="BY47" s="91" t="str">
        <f>IF(AG47="-","-",VLOOKUP($E47,CTPit!$E$10:$AW$175,BY$9,FALSE)-AG47)</f>
        <v>-</v>
      </c>
      <c r="BZ47" s="91" t="str">
        <f>IF(AH47="-","-",VLOOKUP($E47,CTPit!$E$10:$AW$175,BZ$9,FALSE)-AH47)</f>
        <v>-</v>
      </c>
      <c r="CA47" s="91" t="str">
        <f>IF(AI47="-","-",VLOOKUP($E47,CTPit!$E$10:$AW$175,CA$9,FALSE)-AI47)</f>
        <v>-</v>
      </c>
      <c r="CB47" s="91" t="str">
        <f>IF(AJ47="-","-",VLOOKUP($E47,CTPit!$E$10:$AW$175,CB$9,FALSE)-AJ47)</f>
        <v>-</v>
      </c>
      <c r="CC47" s="91" t="str">
        <f>IF(AK47="-","-",VLOOKUP($E47,CTPit!$E$10:$AW$175,CC$9,FALSE)-AK47)</f>
        <v>-</v>
      </c>
      <c r="CD47" s="91" t="str">
        <f>IF(AL47="-","-",VLOOKUP($E47,CTPit!$E$10:$AW$175,CD$9,FALSE)-AL47)</f>
        <v>-</v>
      </c>
      <c r="CE47" s="91" t="str">
        <f>IF(AM47="-","-",VLOOKUP($E47,CTPit!$E$10:$AW$175,CE$9,FALSE)-AM47)</f>
        <v>-</v>
      </c>
      <c r="CF47" s="91" t="str">
        <f>IF(AN47="-","-",VLOOKUP($E47,CTPit!$E$10:$AW$175,CF$9,FALSE)-AN47)</f>
        <v>-</v>
      </c>
      <c r="CG47" s="91" t="str">
        <f>IF(AO47="-","-",VLOOKUP($E47,CTPit!$E$10:$AW$175,CG$9,FALSE)-AO47)</f>
        <v>-</v>
      </c>
      <c r="CH47" s="91" t="str">
        <f>IF(AP47="-","-",VLOOKUP($E47,CTPit!$E$10:$AW$175,CH$9,FALSE)-AP47)</f>
        <v>-</v>
      </c>
      <c r="CI47" s="91" t="str">
        <f>IF(AQ47="-","-",VLOOKUP($E47,CTPit!$E$10:$AW$175,CI$9,FALSE)-AQ47)</f>
        <v>-</v>
      </c>
      <c r="CJ47" s="91" t="str">
        <f>IF(AR47="-","-",VLOOKUP($E47,CTPit!$E$10:$AW$175,CJ$9,FALSE)-AR47)</f>
        <v>-</v>
      </c>
      <c r="CK47" t="e">
        <f t="shared" si="26"/>
        <v>#N/A</v>
      </c>
    </row>
    <row r="48" spans="3:89">
      <c r="C48" t="str">
        <f t="shared" si="16"/>
        <v>K</v>
      </c>
      <c r="D48" t="s">
        <v>108</v>
      </c>
      <c r="E48" t="s">
        <v>430</v>
      </c>
      <c r="F48" t="s">
        <v>371</v>
      </c>
      <c r="G48" t="s">
        <v>208</v>
      </c>
      <c r="H48">
        <v>23</v>
      </c>
      <c r="I48" t="s">
        <v>103</v>
      </c>
      <c r="J48" s="219" t="s">
        <v>103</v>
      </c>
      <c r="K48" t="s">
        <v>47</v>
      </c>
      <c r="L48" t="s">
        <v>42</v>
      </c>
      <c r="M48" t="s">
        <v>226</v>
      </c>
      <c r="N48" s="219" t="s">
        <v>225</v>
      </c>
      <c r="O48">
        <v>7</v>
      </c>
      <c r="P48">
        <v>5</v>
      </c>
      <c r="Q48" s="219">
        <v>3</v>
      </c>
      <c r="R48">
        <v>7</v>
      </c>
      <c r="S48">
        <v>5</v>
      </c>
      <c r="T48" s="219">
        <v>5</v>
      </c>
      <c r="U48">
        <v>7</v>
      </c>
      <c r="V48">
        <v>7</v>
      </c>
      <c r="W48">
        <v>9</v>
      </c>
      <c r="X48">
        <v>9</v>
      </c>
      <c r="Y48" t="s">
        <v>41</v>
      </c>
      <c r="Z48" t="s">
        <v>41</v>
      </c>
      <c r="AA48">
        <v>8</v>
      </c>
      <c r="AB48">
        <v>8</v>
      </c>
      <c r="AC48" t="s">
        <v>41</v>
      </c>
      <c r="AD48" t="s">
        <v>41</v>
      </c>
      <c r="AE48" t="s">
        <v>41</v>
      </c>
      <c r="AF48" t="s">
        <v>41</v>
      </c>
      <c r="AG48" t="s">
        <v>41</v>
      </c>
      <c r="AH48" t="s">
        <v>41</v>
      </c>
      <c r="AI48" t="s">
        <v>41</v>
      </c>
      <c r="AJ48" t="s">
        <v>41</v>
      </c>
      <c r="AK48" t="s">
        <v>41</v>
      </c>
      <c r="AL48" t="s">
        <v>41</v>
      </c>
      <c r="AM48" t="s">
        <v>41</v>
      </c>
      <c r="AN48" t="s">
        <v>41</v>
      </c>
      <c r="AO48" t="s">
        <v>41</v>
      </c>
      <c r="AP48" t="s">
        <v>41</v>
      </c>
      <c r="AQ48" t="s">
        <v>41</v>
      </c>
      <c r="AR48" s="219" t="s">
        <v>41</v>
      </c>
      <c r="AS48" t="s">
        <v>3</v>
      </c>
      <c r="AT48">
        <v>10</v>
      </c>
      <c r="AU48" s="11">
        <v>0.42</v>
      </c>
      <c r="AV48" s="85">
        <v>490000</v>
      </c>
      <c r="AW48" s="219" t="s">
        <v>45</v>
      </c>
      <c r="AX48" s="6">
        <f t="shared" si="17"/>
        <v>5.25</v>
      </c>
      <c r="AY48" s="9" t="str">
        <f t="shared" si="18"/>
        <v>Reg</v>
      </c>
      <c r="AZ48" s="9">
        <f t="shared" si="19"/>
        <v>5.916666666666667</v>
      </c>
      <c r="BA48" s="9" t="str">
        <f t="shared" si="20"/>
        <v>Reg</v>
      </c>
      <c r="BB48" s="9">
        <f t="shared" si="21"/>
        <v>5.916666666666667</v>
      </c>
      <c r="BC48" s="9" t="str">
        <f t="shared" si="22"/>
        <v>Reg</v>
      </c>
      <c r="BD48" s="84">
        <f t="shared" si="23"/>
        <v>3</v>
      </c>
      <c r="BE48" s="83">
        <f t="shared" si="24"/>
        <v>3</v>
      </c>
      <c r="BF48" t="str">
        <f t="shared" si="25"/>
        <v/>
      </c>
      <c r="BG48" s="91">
        <f>IF(O48="-","-",VLOOKUP($E48,CTPit!$E$10:$AW$175,BG$9,FALSE)-O48)</f>
        <v>1</v>
      </c>
      <c r="BH48" s="91">
        <f>IF(P48="-","-",VLOOKUP($E48,CTPit!$E$10:$AW$175,BH$9,FALSE)-P48)</f>
        <v>0</v>
      </c>
      <c r="BI48" s="91">
        <f>IF(Q48="-","-",VLOOKUP($E48,CTPit!$E$10:$AW$175,BI$9,FALSE)-Q48)</f>
        <v>1</v>
      </c>
      <c r="BJ48" s="91">
        <f>IF(R48="-","-",VLOOKUP($E48,CTPit!$E$10:$AW$175,BJ$9,FALSE)-R48)</f>
        <v>1</v>
      </c>
      <c r="BK48" s="91">
        <f>IF(S48="-","-",VLOOKUP($E48,CTPit!$E$10:$AW$175,BK$9,FALSE)-S48)</f>
        <v>0</v>
      </c>
      <c r="BL48" s="91">
        <f>IF(T48="-","-",VLOOKUP($E48,CTPit!$E$10:$AW$175,BL$9,FALSE)-T48)</f>
        <v>0</v>
      </c>
      <c r="BM48" s="91">
        <f>IF(U48="-","-",VLOOKUP($E48,CTPit!$E$10:$AW$175,BM$9,FALSE)-U48)</f>
        <v>0</v>
      </c>
      <c r="BN48" s="91">
        <f>IF(V48="-","-",VLOOKUP($E48,CTPit!$E$10:$AW$175,BN$9,FALSE)-V48)</f>
        <v>0</v>
      </c>
      <c r="BO48" s="91">
        <f>IF(W48="-","-",VLOOKUP($E48,CTPit!$E$10:$AW$175,BO$9,FALSE)-W48)</f>
        <v>0</v>
      </c>
      <c r="BP48" s="91">
        <f>IF(X48="-","-",VLOOKUP($E48,CTPit!$E$10:$AW$175,BP$9,FALSE)-X48)</f>
        <v>0</v>
      </c>
      <c r="BQ48" s="91" t="str">
        <f>IF(Y48="-","-",VLOOKUP($E48,CTPit!$E$10:$AW$175,BQ$9,FALSE)-Y48)</f>
        <v>-</v>
      </c>
      <c r="BR48" s="91" t="str">
        <f>IF(Z48="-","-",VLOOKUP($E48,CTPit!$E$10:$AW$175,BR$9,FALSE)-Z48)</f>
        <v>-</v>
      </c>
      <c r="BS48" s="91">
        <f>IF(AA48="-","-",VLOOKUP($E48,CTPit!$E$10:$AW$175,BS$9,FALSE)-AA48)</f>
        <v>0</v>
      </c>
      <c r="BT48" s="91">
        <f>IF(AB48="-","-",VLOOKUP($E48,CTPit!$E$10:$AW$175,BT$9,FALSE)-AB48)</f>
        <v>0</v>
      </c>
      <c r="BU48" s="91" t="str">
        <f>IF(AC48="-","-",VLOOKUP($E48,CTPit!$E$10:$AW$175,BU$9,FALSE)-AC48)</f>
        <v>-</v>
      </c>
      <c r="BV48" s="91" t="str">
        <f>IF(AD48="-","-",VLOOKUP($E48,CTPit!$E$10:$AW$175,BV$9,FALSE)-AD48)</f>
        <v>-</v>
      </c>
      <c r="BW48" s="91" t="str">
        <f>IF(AE48="-","-",VLOOKUP($E48,CTPit!$E$10:$AW$175,BW$9,FALSE)-AE48)</f>
        <v>-</v>
      </c>
      <c r="BX48" s="91" t="str">
        <f>IF(AF48="-","-",VLOOKUP($E48,CTPit!$E$10:$AW$175,BX$9,FALSE)-AF48)</f>
        <v>-</v>
      </c>
      <c r="BY48" s="91" t="str">
        <f>IF(AG48="-","-",VLOOKUP($E48,CTPit!$E$10:$AW$175,BY$9,FALSE)-AG48)</f>
        <v>-</v>
      </c>
      <c r="BZ48" s="91" t="str">
        <f>IF(AH48="-","-",VLOOKUP($E48,CTPit!$E$10:$AW$175,BZ$9,FALSE)-AH48)</f>
        <v>-</v>
      </c>
      <c r="CA48" s="91" t="str">
        <f>IF(AI48="-","-",VLOOKUP($E48,CTPit!$E$10:$AW$175,CA$9,FALSE)-AI48)</f>
        <v>-</v>
      </c>
      <c r="CB48" s="91" t="str">
        <f>IF(AJ48="-","-",VLOOKUP($E48,CTPit!$E$10:$AW$175,CB$9,FALSE)-AJ48)</f>
        <v>-</v>
      </c>
      <c r="CC48" s="91" t="str">
        <f>IF(AK48="-","-",VLOOKUP($E48,CTPit!$E$10:$AW$175,CC$9,FALSE)-AK48)</f>
        <v>-</v>
      </c>
      <c r="CD48" s="91" t="str">
        <f>IF(AL48="-","-",VLOOKUP($E48,CTPit!$E$10:$AW$175,CD$9,FALSE)-AL48)</f>
        <v>-</v>
      </c>
      <c r="CE48" s="91" t="str">
        <f>IF(AM48="-","-",VLOOKUP($E48,CTPit!$E$10:$AW$175,CE$9,FALSE)-AM48)</f>
        <v>-</v>
      </c>
      <c r="CF48" s="91" t="str">
        <f>IF(AN48="-","-",VLOOKUP($E48,CTPit!$E$10:$AW$175,CF$9,FALSE)-AN48)</f>
        <v>-</v>
      </c>
      <c r="CG48" s="91" t="str">
        <f>IF(AO48="-","-",VLOOKUP($E48,CTPit!$E$10:$AW$175,CG$9,FALSE)-AO48)</f>
        <v>-</v>
      </c>
      <c r="CH48" s="91" t="str">
        <f>IF(AP48="-","-",VLOOKUP($E48,CTPit!$E$10:$AW$175,CH$9,FALSE)-AP48)</f>
        <v>-</v>
      </c>
      <c r="CI48" s="91" t="str">
        <f>IF(AQ48="-","-",VLOOKUP($E48,CTPit!$E$10:$AW$175,CI$9,FALSE)-AQ48)</f>
        <v>-</v>
      </c>
      <c r="CJ48" s="91" t="str">
        <f>IF(AR48="-","-",VLOOKUP($E48,CTPit!$E$10:$AW$175,CJ$9,FALSE)-AR48)</f>
        <v>-</v>
      </c>
      <c r="CK48">
        <f t="shared" si="26"/>
        <v>3</v>
      </c>
    </row>
    <row r="49" spans="3:89">
      <c r="C49" t="str">
        <f t="shared" si="16"/>
        <v>K</v>
      </c>
      <c r="D49" t="s">
        <v>107</v>
      </c>
      <c r="E49" t="s">
        <v>10</v>
      </c>
      <c r="F49" t="s">
        <v>371</v>
      </c>
      <c r="G49" t="s">
        <v>208</v>
      </c>
      <c r="H49">
        <v>24</v>
      </c>
      <c r="I49" t="s">
        <v>103</v>
      </c>
      <c r="J49" s="219" t="s">
        <v>103</v>
      </c>
      <c r="K49" t="s">
        <v>42</v>
      </c>
      <c r="L49" t="s">
        <v>42</v>
      </c>
      <c r="M49" t="s">
        <v>227</v>
      </c>
      <c r="N49" s="219" t="s">
        <v>224</v>
      </c>
      <c r="O49">
        <v>5</v>
      </c>
      <c r="P49">
        <v>6</v>
      </c>
      <c r="Q49" s="219">
        <v>4</v>
      </c>
      <c r="R49">
        <v>5</v>
      </c>
      <c r="S49">
        <v>6</v>
      </c>
      <c r="T49" s="219">
        <v>6</v>
      </c>
      <c r="U49">
        <v>6</v>
      </c>
      <c r="V49">
        <v>6</v>
      </c>
      <c r="W49">
        <v>5</v>
      </c>
      <c r="X49">
        <v>5</v>
      </c>
      <c r="Y49" t="s">
        <v>41</v>
      </c>
      <c r="Z49" t="s">
        <v>41</v>
      </c>
      <c r="AA49" t="s">
        <v>41</v>
      </c>
      <c r="AB49" t="s">
        <v>41</v>
      </c>
      <c r="AC49" t="s">
        <v>41</v>
      </c>
      <c r="AD49" t="s">
        <v>41</v>
      </c>
      <c r="AE49" t="s">
        <v>41</v>
      </c>
      <c r="AF49" t="s">
        <v>41</v>
      </c>
      <c r="AG49" t="s">
        <v>41</v>
      </c>
      <c r="AH49" t="s">
        <v>41</v>
      </c>
      <c r="AI49" t="s">
        <v>41</v>
      </c>
      <c r="AJ49" t="s">
        <v>41</v>
      </c>
      <c r="AK49" t="s">
        <v>41</v>
      </c>
      <c r="AL49" t="s">
        <v>41</v>
      </c>
      <c r="AM49" t="s">
        <v>41</v>
      </c>
      <c r="AN49" t="s">
        <v>41</v>
      </c>
      <c r="AO49" t="s">
        <v>41</v>
      </c>
      <c r="AP49" t="s">
        <v>41</v>
      </c>
      <c r="AQ49" t="s">
        <v>41</v>
      </c>
      <c r="AR49" s="219" t="s">
        <v>41</v>
      </c>
      <c r="AS49" t="s">
        <v>11</v>
      </c>
      <c r="AT49">
        <v>3</v>
      </c>
      <c r="AU49" s="11">
        <v>0.53</v>
      </c>
      <c r="AV49" s="85" t="s">
        <v>41</v>
      </c>
      <c r="AW49" s="219">
        <v>0</v>
      </c>
      <c r="AX49" s="6">
        <f t="shared" si="17"/>
        <v>5.25</v>
      </c>
      <c r="AY49" s="9" t="str">
        <f t="shared" si="18"/>
        <v>Reg</v>
      </c>
      <c r="AZ49" s="9">
        <f t="shared" si="19"/>
        <v>5.916666666666667</v>
      </c>
      <c r="BA49" s="9" t="str">
        <f t="shared" si="20"/>
        <v>Reg</v>
      </c>
      <c r="BB49" s="9">
        <f t="shared" si="21"/>
        <v>5.916666666666667</v>
      </c>
      <c r="BC49" s="9" t="str">
        <f t="shared" si="22"/>
        <v>Reg</v>
      </c>
      <c r="BD49" s="84">
        <f t="shared" si="23"/>
        <v>2</v>
      </c>
      <c r="BE49" s="83">
        <f t="shared" si="24"/>
        <v>1</v>
      </c>
      <c r="BF49" t="str">
        <f t="shared" si="25"/>
        <v/>
      </c>
      <c r="BG49" s="91">
        <f>IF(O49="-","-",VLOOKUP($E49,CTPit!$E$10:$AW$175,BG$9,FALSE)-O49)</f>
        <v>0</v>
      </c>
      <c r="BH49" s="91">
        <f>IF(P49="-","-",VLOOKUP($E49,CTPit!$E$10:$AW$175,BH$9,FALSE)-P49)</f>
        <v>0</v>
      </c>
      <c r="BI49" s="91">
        <f>IF(Q49="-","-",VLOOKUP($E49,CTPit!$E$10:$AW$175,BI$9,FALSE)-Q49)</f>
        <v>0</v>
      </c>
      <c r="BJ49" s="91">
        <f>IF(R49="-","-",VLOOKUP($E49,CTPit!$E$10:$AW$175,BJ$9,FALSE)-R49)</f>
        <v>0</v>
      </c>
      <c r="BK49" s="91">
        <f>IF(S49="-","-",VLOOKUP($E49,CTPit!$E$10:$AW$175,BK$9,FALSE)-S49)</f>
        <v>0</v>
      </c>
      <c r="BL49" s="91">
        <f>IF(T49="-","-",VLOOKUP($E49,CTPit!$E$10:$AW$175,BL$9,FALSE)-T49)</f>
        <v>0</v>
      </c>
      <c r="BM49" s="91">
        <f>IF(U49="-","-",VLOOKUP($E49,CTPit!$E$10:$AW$175,BM$9,FALSE)-U49)</f>
        <v>0</v>
      </c>
      <c r="BN49" s="91">
        <f>IF(V49="-","-",VLOOKUP($E49,CTPit!$E$10:$AW$175,BN$9,FALSE)-V49)</f>
        <v>0</v>
      </c>
      <c r="BO49" s="91">
        <f>IF(W49="-","-",VLOOKUP($E49,CTPit!$E$10:$AW$175,BO$9,FALSE)-W49)</f>
        <v>0</v>
      </c>
      <c r="BP49" s="91">
        <f>IF(X49="-","-",VLOOKUP($E49,CTPit!$E$10:$AW$175,BP$9,FALSE)-X49)</f>
        <v>0</v>
      </c>
      <c r="BQ49" s="91" t="str">
        <f>IF(Y49="-","-",VLOOKUP($E49,CTPit!$E$10:$AW$175,BQ$9,FALSE)-Y49)</f>
        <v>-</v>
      </c>
      <c r="BR49" s="91" t="str">
        <f>IF(Z49="-","-",VLOOKUP($E49,CTPit!$E$10:$AW$175,BR$9,FALSE)-Z49)</f>
        <v>-</v>
      </c>
      <c r="BS49" s="91" t="str">
        <f>IF(AA49="-","-",VLOOKUP($E49,CTPit!$E$10:$AW$175,BS$9,FALSE)-AA49)</f>
        <v>-</v>
      </c>
      <c r="BT49" s="91" t="str">
        <f>IF(AB49="-","-",VLOOKUP($E49,CTPit!$E$10:$AW$175,BT$9,FALSE)-AB49)</f>
        <v>-</v>
      </c>
      <c r="BU49" s="91" t="str">
        <f>IF(AC49="-","-",VLOOKUP($E49,CTPit!$E$10:$AW$175,BU$9,FALSE)-AC49)</f>
        <v>-</v>
      </c>
      <c r="BV49" s="91" t="str">
        <f>IF(AD49="-","-",VLOOKUP($E49,CTPit!$E$10:$AW$175,BV$9,FALSE)-AD49)</f>
        <v>-</v>
      </c>
      <c r="BW49" s="91" t="str">
        <f>IF(AE49="-","-",VLOOKUP($E49,CTPit!$E$10:$AW$175,BW$9,FALSE)-AE49)</f>
        <v>-</v>
      </c>
      <c r="BX49" s="91" t="str">
        <f>IF(AF49="-","-",VLOOKUP($E49,CTPit!$E$10:$AW$175,BX$9,FALSE)-AF49)</f>
        <v>-</v>
      </c>
      <c r="BY49" s="91" t="str">
        <f>IF(AG49="-","-",VLOOKUP($E49,CTPit!$E$10:$AW$175,BY$9,FALSE)-AG49)</f>
        <v>-</v>
      </c>
      <c r="BZ49" s="91" t="str">
        <f>IF(AH49="-","-",VLOOKUP($E49,CTPit!$E$10:$AW$175,BZ$9,FALSE)-AH49)</f>
        <v>-</v>
      </c>
      <c r="CA49" s="91" t="str">
        <f>IF(AI49="-","-",VLOOKUP($E49,CTPit!$E$10:$AW$175,CA$9,FALSE)-AI49)</f>
        <v>-</v>
      </c>
      <c r="CB49" s="91" t="str">
        <f>IF(AJ49="-","-",VLOOKUP($E49,CTPit!$E$10:$AW$175,CB$9,FALSE)-AJ49)</f>
        <v>-</v>
      </c>
      <c r="CC49" s="91" t="str">
        <f>IF(AK49="-","-",VLOOKUP($E49,CTPit!$E$10:$AW$175,CC$9,FALSE)-AK49)</f>
        <v>-</v>
      </c>
      <c r="CD49" s="91" t="str">
        <f>IF(AL49="-","-",VLOOKUP($E49,CTPit!$E$10:$AW$175,CD$9,FALSE)-AL49)</f>
        <v>-</v>
      </c>
      <c r="CE49" s="91" t="str">
        <f>IF(AM49="-","-",VLOOKUP($E49,CTPit!$E$10:$AW$175,CE$9,FALSE)-AM49)</f>
        <v>-</v>
      </c>
      <c r="CF49" s="91" t="str">
        <f>IF(AN49="-","-",VLOOKUP($E49,CTPit!$E$10:$AW$175,CF$9,FALSE)-AN49)</f>
        <v>-</v>
      </c>
      <c r="CG49" s="91" t="str">
        <f>IF(AO49="-","-",VLOOKUP($E49,CTPit!$E$10:$AW$175,CG$9,FALSE)-AO49)</f>
        <v>-</v>
      </c>
      <c r="CH49" s="91" t="str">
        <f>IF(AP49="-","-",VLOOKUP($E49,CTPit!$E$10:$AW$175,CH$9,FALSE)-AP49)</f>
        <v>-</v>
      </c>
      <c r="CI49" s="91" t="str">
        <f>IF(AQ49="-","-",VLOOKUP($E49,CTPit!$E$10:$AW$175,CI$9,FALSE)-AQ49)</f>
        <v>-</v>
      </c>
      <c r="CJ49" s="91" t="str">
        <f>IF(AR49="-","-",VLOOKUP($E49,CTPit!$E$10:$AW$175,CJ$9,FALSE)-AR49)</f>
        <v>-</v>
      </c>
      <c r="CK49">
        <f t="shared" si="26"/>
        <v>0</v>
      </c>
    </row>
    <row r="50" spans="3:89">
      <c r="C50" t="str">
        <f t="shared" si="16"/>
        <v>K</v>
      </c>
      <c r="D50" t="s">
        <v>108</v>
      </c>
      <c r="E50" t="s">
        <v>499</v>
      </c>
      <c r="F50" t="s">
        <v>372</v>
      </c>
      <c r="G50" t="s">
        <v>209</v>
      </c>
      <c r="H50">
        <v>24</v>
      </c>
      <c r="I50" t="s">
        <v>104</v>
      </c>
      <c r="J50" s="219" t="s">
        <v>104</v>
      </c>
      <c r="K50" t="s">
        <v>42</v>
      </c>
      <c r="L50" t="s">
        <v>42</v>
      </c>
      <c r="M50" t="s">
        <v>226</v>
      </c>
      <c r="N50" s="219" t="s">
        <v>223</v>
      </c>
      <c r="O50">
        <v>3</v>
      </c>
      <c r="P50">
        <v>5</v>
      </c>
      <c r="Q50" s="219">
        <v>7</v>
      </c>
      <c r="R50">
        <v>3</v>
      </c>
      <c r="S50">
        <v>5</v>
      </c>
      <c r="T50" s="219">
        <v>7</v>
      </c>
      <c r="U50">
        <v>4</v>
      </c>
      <c r="V50">
        <v>4</v>
      </c>
      <c r="W50">
        <v>2</v>
      </c>
      <c r="X50">
        <v>2</v>
      </c>
      <c r="Y50">
        <v>3</v>
      </c>
      <c r="Z50">
        <v>3</v>
      </c>
      <c r="AA50" t="s">
        <v>41</v>
      </c>
      <c r="AB50" t="s">
        <v>41</v>
      </c>
      <c r="AC50" t="s">
        <v>41</v>
      </c>
      <c r="AD50" t="s">
        <v>41</v>
      </c>
      <c r="AE50">
        <v>4</v>
      </c>
      <c r="AF50">
        <v>4</v>
      </c>
      <c r="AG50" t="s">
        <v>41</v>
      </c>
      <c r="AH50" t="s">
        <v>41</v>
      </c>
      <c r="AI50" t="s">
        <v>41</v>
      </c>
      <c r="AJ50" t="s">
        <v>41</v>
      </c>
      <c r="AK50" t="s">
        <v>41</v>
      </c>
      <c r="AL50" t="s">
        <v>41</v>
      </c>
      <c r="AM50" t="s">
        <v>41</v>
      </c>
      <c r="AN50" t="s">
        <v>41</v>
      </c>
      <c r="AO50" t="s">
        <v>41</v>
      </c>
      <c r="AP50" t="s">
        <v>41</v>
      </c>
      <c r="AQ50" t="s">
        <v>41</v>
      </c>
      <c r="AR50" s="219" t="s">
        <v>41</v>
      </c>
      <c r="AS50" t="s">
        <v>6</v>
      </c>
      <c r="AT50">
        <v>6</v>
      </c>
      <c r="AU50" s="11">
        <v>0.5</v>
      </c>
      <c r="AV50" s="85" t="s">
        <v>41</v>
      </c>
      <c r="AW50" s="219" t="s">
        <v>45</v>
      </c>
      <c r="AX50" s="6">
        <f t="shared" si="17"/>
        <v>5.25</v>
      </c>
      <c r="AY50" s="9" t="str">
        <f t="shared" si="18"/>
        <v>Reg</v>
      </c>
      <c r="AZ50" s="9">
        <f t="shared" si="19"/>
        <v>5.25</v>
      </c>
      <c r="BA50" s="9" t="str">
        <f t="shared" si="20"/>
        <v>Reg</v>
      </c>
      <c r="BB50" s="9">
        <f t="shared" si="21"/>
        <v>5.25</v>
      </c>
      <c r="BC50" s="9" t="str">
        <f t="shared" si="22"/>
        <v>Reg</v>
      </c>
      <c r="BD50" s="84">
        <f t="shared" si="23"/>
        <v>4</v>
      </c>
      <c r="BE50" s="83">
        <f t="shared" si="24"/>
        <v>0</v>
      </c>
      <c r="BF50" t="str">
        <f t="shared" si="25"/>
        <v/>
      </c>
      <c r="BG50" s="91" t="e">
        <f>IF(O50="-","-",VLOOKUP($E50,CTPit!$E$10:$AW$175,BG$9,FALSE)-O50)</f>
        <v>#N/A</v>
      </c>
      <c r="BH50" s="91" t="e">
        <f>IF(P50="-","-",VLOOKUP($E50,CTPit!$E$10:$AW$175,BH$9,FALSE)-P50)</f>
        <v>#N/A</v>
      </c>
      <c r="BI50" s="91" t="e">
        <f>IF(Q50="-","-",VLOOKUP($E50,CTPit!$E$10:$AW$175,BI$9,FALSE)-Q50)</f>
        <v>#N/A</v>
      </c>
      <c r="BJ50" s="91" t="e">
        <f>IF(R50="-","-",VLOOKUP($E50,CTPit!$E$10:$AW$175,BJ$9,FALSE)-R50)</f>
        <v>#N/A</v>
      </c>
      <c r="BK50" s="91" t="e">
        <f>IF(S50="-","-",VLOOKUP($E50,CTPit!$E$10:$AW$175,BK$9,FALSE)-S50)</f>
        <v>#N/A</v>
      </c>
      <c r="BL50" s="91" t="e">
        <f>IF(T50="-","-",VLOOKUP($E50,CTPit!$E$10:$AW$175,BL$9,FALSE)-T50)</f>
        <v>#N/A</v>
      </c>
      <c r="BM50" s="91" t="e">
        <f>IF(U50="-","-",VLOOKUP($E50,CTPit!$E$10:$AW$175,BM$9,FALSE)-U50)</f>
        <v>#N/A</v>
      </c>
      <c r="BN50" s="91" t="e">
        <f>IF(V50="-","-",VLOOKUP($E50,CTPit!$E$10:$AW$175,BN$9,FALSE)-V50)</f>
        <v>#N/A</v>
      </c>
      <c r="BO50" s="91" t="e">
        <f>IF(W50="-","-",VLOOKUP($E50,CTPit!$E$10:$AW$175,BO$9,FALSE)-W50)</f>
        <v>#N/A</v>
      </c>
      <c r="BP50" s="91" t="e">
        <f>IF(X50="-","-",VLOOKUP($E50,CTPit!$E$10:$AW$175,BP$9,FALSE)-X50)</f>
        <v>#N/A</v>
      </c>
      <c r="BQ50" s="91" t="e">
        <f>IF(Y50="-","-",VLOOKUP($E50,CTPit!$E$10:$AW$175,BQ$9,FALSE)-Y50)</f>
        <v>#N/A</v>
      </c>
      <c r="BR50" s="91" t="e">
        <f>IF(Z50="-","-",VLOOKUP($E50,CTPit!$E$10:$AW$175,BR$9,FALSE)-Z50)</f>
        <v>#N/A</v>
      </c>
      <c r="BS50" s="91" t="str">
        <f>IF(AA50="-","-",VLOOKUP($E50,CTPit!$E$10:$AW$175,BS$9,FALSE)-AA50)</f>
        <v>-</v>
      </c>
      <c r="BT50" s="91" t="str">
        <f>IF(AB50="-","-",VLOOKUP($E50,CTPit!$E$10:$AW$175,BT$9,FALSE)-AB50)</f>
        <v>-</v>
      </c>
      <c r="BU50" s="91" t="str">
        <f>IF(AC50="-","-",VLOOKUP($E50,CTPit!$E$10:$AW$175,BU$9,FALSE)-AC50)</f>
        <v>-</v>
      </c>
      <c r="BV50" s="91" t="str">
        <f>IF(AD50="-","-",VLOOKUP($E50,CTPit!$E$10:$AW$175,BV$9,FALSE)-AD50)</f>
        <v>-</v>
      </c>
      <c r="BW50" s="91" t="e">
        <f>IF(AE50="-","-",VLOOKUP($E50,CTPit!$E$10:$AW$175,BW$9,FALSE)-AE50)</f>
        <v>#N/A</v>
      </c>
      <c r="BX50" s="91" t="e">
        <f>IF(AF50="-","-",VLOOKUP($E50,CTPit!$E$10:$AW$175,BX$9,FALSE)-AF50)</f>
        <v>#N/A</v>
      </c>
      <c r="BY50" s="91" t="str">
        <f>IF(AG50="-","-",VLOOKUP($E50,CTPit!$E$10:$AW$175,BY$9,FALSE)-AG50)</f>
        <v>-</v>
      </c>
      <c r="BZ50" s="91" t="str">
        <f>IF(AH50="-","-",VLOOKUP($E50,CTPit!$E$10:$AW$175,BZ$9,FALSE)-AH50)</f>
        <v>-</v>
      </c>
      <c r="CA50" s="91" t="str">
        <f>IF(AI50="-","-",VLOOKUP($E50,CTPit!$E$10:$AW$175,CA$9,FALSE)-AI50)</f>
        <v>-</v>
      </c>
      <c r="CB50" s="91" t="str">
        <f>IF(AJ50="-","-",VLOOKUP($E50,CTPit!$E$10:$AW$175,CB$9,FALSE)-AJ50)</f>
        <v>-</v>
      </c>
      <c r="CC50" s="91" t="str">
        <f>IF(AK50="-","-",VLOOKUP($E50,CTPit!$E$10:$AW$175,CC$9,FALSE)-AK50)</f>
        <v>-</v>
      </c>
      <c r="CD50" s="91" t="str">
        <f>IF(AL50="-","-",VLOOKUP($E50,CTPit!$E$10:$AW$175,CD$9,FALSE)-AL50)</f>
        <v>-</v>
      </c>
      <c r="CE50" s="91" t="str">
        <f>IF(AM50="-","-",VLOOKUP($E50,CTPit!$E$10:$AW$175,CE$9,FALSE)-AM50)</f>
        <v>-</v>
      </c>
      <c r="CF50" s="91" t="str">
        <f>IF(AN50="-","-",VLOOKUP($E50,CTPit!$E$10:$AW$175,CF$9,FALSE)-AN50)</f>
        <v>-</v>
      </c>
      <c r="CG50" s="91" t="str">
        <f>IF(AO50="-","-",VLOOKUP($E50,CTPit!$E$10:$AW$175,CG$9,FALSE)-AO50)</f>
        <v>-</v>
      </c>
      <c r="CH50" s="91" t="str">
        <f>IF(AP50="-","-",VLOOKUP($E50,CTPit!$E$10:$AW$175,CH$9,FALSE)-AP50)</f>
        <v>-</v>
      </c>
      <c r="CI50" s="91" t="str">
        <f>IF(AQ50="-","-",VLOOKUP($E50,CTPit!$E$10:$AW$175,CI$9,FALSE)-AQ50)</f>
        <v>-</v>
      </c>
      <c r="CJ50" s="91" t="str">
        <f>IF(AR50="-","-",VLOOKUP($E50,CTPit!$E$10:$AW$175,CJ$9,FALSE)-AR50)</f>
        <v>-</v>
      </c>
      <c r="CK50" t="e">
        <f t="shared" si="26"/>
        <v>#N/A</v>
      </c>
    </row>
    <row r="51" spans="3:89">
      <c r="C51" t="str">
        <f t="shared" si="16"/>
        <v>K</v>
      </c>
      <c r="D51" t="s">
        <v>108</v>
      </c>
      <c r="E51" t="s">
        <v>477</v>
      </c>
      <c r="F51" t="s">
        <v>370</v>
      </c>
      <c r="G51" t="s">
        <v>316</v>
      </c>
      <c r="H51">
        <v>22</v>
      </c>
      <c r="I51" t="s">
        <v>104</v>
      </c>
      <c r="J51" s="219" t="s">
        <v>104</v>
      </c>
      <c r="K51" t="s">
        <v>47</v>
      </c>
      <c r="L51" t="s">
        <v>42</v>
      </c>
      <c r="M51" t="s">
        <v>225</v>
      </c>
      <c r="N51" s="219" t="s">
        <v>225</v>
      </c>
      <c r="O51">
        <v>6</v>
      </c>
      <c r="P51">
        <v>4</v>
      </c>
      <c r="Q51" s="219">
        <v>2</v>
      </c>
      <c r="R51">
        <v>6</v>
      </c>
      <c r="S51">
        <v>4</v>
      </c>
      <c r="T51" s="219">
        <v>4</v>
      </c>
      <c r="U51">
        <v>6</v>
      </c>
      <c r="V51">
        <v>7</v>
      </c>
      <c r="W51" t="s">
        <v>41</v>
      </c>
      <c r="X51" t="s">
        <v>41</v>
      </c>
      <c r="Y51">
        <v>6</v>
      </c>
      <c r="Z51">
        <v>6</v>
      </c>
      <c r="AA51">
        <v>5</v>
      </c>
      <c r="AB51">
        <v>6</v>
      </c>
      <c r="AC51" t="s">
        <v>41</v>
      </c>
      <c r="AD51" t="s">
        <v>41</v>
      </c>
      <c r="AE51">
        <v>6</v>
      </c>
      <c r="AF51">
        <v>6</v>
      </c>
      <c r="AG51" t="s">
        <v>41</v>
      </c>
      <c r="AH51" t="s">
        <v>41</v>
      </c>
      <c r="AI51">
        <v>5</v>
      </c>
      <c r="AJ51">
        <v>6</v>
      </c>
      <c r="AK51">
        <v>5</v>
      </c>
      <c r="AL51">
        <v>5</v>
      </c>
      <c r="AM51" t="s">
        <v>41</v>
      </c>
      <c r="AN51" t="s">
        <v>41</v>
      </c>
      <c r="AO51" t="s">
        <v>41</v>
      </c>
      <c r="AP51" t="s">
        <v>41</v>
      </c>
      <c r="AQ51" t="s">
        <v>41</v>
      </c>
      <c r="AR51" s="219" t="s">
        <v>41</v>
      </c>
      <c r="AS51" t="s">
        <v>15</v>
      </c>
      <c r="AT51">
        <v>4</v>
      </c>
      <c r="AU51" s="11">
        <v>0.53</v>
      </c>
      <c r="AV51" s="85" t="s">
        <v>41</v>
      </c>
      <c r="AW51" s="219">
        <v>0</v>
      </c>
      <c r="AX51" s="6">
        <f t="shared" si="17"/>
        <v>5</v>
      </c>
      <c r="AY51" s="9" t="str">
        <f t="shared" si="18"/>
        <v>Bench</v>
      </c>
      <c r="AZ51" s="9">
        <f t="shared" si="19"/>
        <v>5.666666666666667</v>
      </c>
      <c r="BA51" s="9" t="str">
        <f t="shared" si="20"/>
        <v>Reg</v>
      </c>
      <c r="BB51" s="9">
        <f t="shared" si="21"/>
        <v>5.666666666666667</v>
      </c>
      <c r="BC51" s="9" t="str">
        <f t="shared" si="22"/>
        <v>Reg</v>
      </c>
      <c r="BD51" s="84">
        <f t="shared" si="23"/>
        <v>6</v>
      </c>
      <c r="BE51" s="83">
        <f t="shared" si="24"/>
        <v>4</v>
      </c>
      <c r="BF51" t="str">
        <f t="shared" si="25"/>
        <v/>
      </c>
      <c r="BG51" s="91">
        <f>IF(O51="-","-",VLOOKUP($E51,CTPit!$E$10:$AW$175,BG$9,FALSE)-O51)</f>
        <v>0</v>
      </c>
      <c r="BH51" s="91">
        <f>IF(P51="-","-",VLOOKUP($E51,CTPit!$E$10:$AW$175,BH$9,FALSE)-P51)</f>
        <v>0</v>
      </c>
      <c r="BI51" s="91">
        <f>IF(Q51="-","-",VLOOKUP($E51,CTPit!$E$10:$AW$175,BI$9,FALSE)-Q51)</f>
        <v>0</v>
      </c>
      <c r="BJ51" s="91">
        <f>IF(R51="-","-",VLOOKUP($E51,CTPit!$E$10:$AW$175,BJ$9,FALSE)-R51)</f>
        <v>0</v>
      </c>
      <c r="BK51" s="91">
        <f>IF(S51="-","-",VLOOKUP($E51,CTPit!$E$10:$AW$175,BK$9,FALSE)-S51)</f>
        <v>0</v>
      </c>
      <c r="BL51" s="91">
        <f>IF(T51="-","-",VLOOKUP($E51,CTPit!$E$10:$AW$175,BL$9,FALSE)-T51)</f>
        <v>-1</v>
      </c>
      <c r="BM51" s="91">
        <f>IF(U51="-","-",VLOOKUP($E51,CTPit!$E$10:$AW$175,BM$9,FALSE)-U51)</f>
        <v>0</v>
      </c>
      <c r="BN51" s="91">
        <f>IF(V51="-","-",VLOOKUP($E51,CTPit!$E$10:$AW$175,BN$9,FALSE)-V51)</f>
        <v>-1</v>
      </c>
      <c r="BO51" s="91" t="str">
        <f>IF(W51="-","-",VLOOKUP($E51,CTPit!$E$10:$AW$175,BO$9,FALSE)-W51)</f>
        <v>-</v>
      </c>
      <c r="BP51" s="91" t="str">
        <f>IF(X51="-","-",VLOOKUP($E51,CTPit!$E$10:$AW$175,BP$9,FALSE)-X51)</f>
        <v>-</v>
      </c>
      <c r="BQ51" s="91">
        <f>IF(Y51="-","-",VLOOKUP($E51,CTPit!$E$10:$AW$175,BQ$9,FALSE)-Y51)</f>
        <v>0</v>
      </c>
      <c r="BR51" s="91">
        <f>IF(Z51="-","-",VLOOKUP($E51,CTPit!$E$10:$AW$175,BR$9,FALSE)-Z51)</f>
        <v>0</v>
      </c>
      <c r="BS51" s="91">
        <f>IF(AA51="-","-",VLOOKUP($E51,CTPit!$E$10:$AW$175,BS$9,FALSE)-AA51)</f>
        <v>0</v>
      </c>
      <c r="BT51" s="91">
        <f>IF(AB51="-","-",VLOOKUP($E51,CTPit!$E$10:$AW$175,BT$9,FALSE)-AB51)</f>
        <v>-1</v>
      </c>
      <c r="BU51" s="91" t="str">
        <f>IF(AC51="-","-",VLOOKUP($E51,CTPit!$E$10:$AW$175,BU$9,FALSE)-AC51)</f>
        <v>-</v>
      </c>
      <c r="BV51" s="91" t="str">
        <f>IF(AD51="-","-",VLOOKUP($E51,CTPit!$E$10:$AW$175,BV$9,FALSE)-AD51)</f>
        <v>-</v>
      </c>
      <c r="BW51" s="91">
        <f>IF(AE51="-","-",VLOOKUP($E51,CTPit!$E$10:$AW$175,BW$9,FALSE)-AE51)</f>
        <v>0</v>
      </c>
      <c r="BX51" s="91">
        <f>IF(AF51="-","-",VLOOKUP($E51,CTPit!$E$10:$AW$175,BX$9,FALSE)-AF51)</f>
        <v>0</v>
      </c>
      <c r="BY51" s="91" t="str">
        <f>IF(AG51="-","-",VLOOKUP($E51,CTPit!$E$10:$AW$175,BY$9,FALSE)-AG51)</f>
        <v>-</v>
      </c>
      <c r="BZ51" s="91" t="str">
        <f>IF(AH51="-","-",VLOOKUP($E51,CTPit!$E$10:$AW$175,BZ$9,FALSE)-AH51)</f>
        <v>-</v>
      </c>
      <c r="CA51" s="91">
        <f>IF(AI51="-","-",VLOOKUP($E51,CTPit!$E$10:$AW$175,CA$9,FALSE)-AI51)</f>
        <v>0</v>
      </c>
      <c r="CB51" s="91">
        <f>IF(AJ51="-","-",VLOOKUP($E51,CTPit!$E$10:$AW$175,CB$9,FALSE)-AJ51)</f>
        <v>0</v>
      </c>
      <c r="CC51" s="91">
        <f>IF(AK51="-","-",VLOOKUP($E51,CTPit!$E$10:$AW$175,CC$9,FALSE)-AK51)</f>
        <v>0</v>
      </c>
      <c r="CD51" s="91">
        <f>IF(AL51="-","-",VLOOKUP($E51,CTPit!$E$10:$AW$175,CD$9,FALSE)-AL51)</f>
        <v>0</v>
      </c>
      <c r="CE51" s="91" t="str">
        <f>IF(AM51="-","-",VLOOKUP($E51,CTPit!$E$10:$AW$175,CE$9,FALSE)-AM51)</f>
        <v>-</v>
      </c>
      <c r="CF51" s="91" t="str">
        <f>IF(AN51="-","-",VLOOKUP($E51,CTPit!$E$10:$AW$175,CF$9,FALSE)-AN51)</f>
        <v>-</v>
      </c>
      <c r="CG51" s="91" t="str">
        <f>IF(AO51="-","-",VLOOKUP($E51,CTPit!$E$10:$AW$175,CG$9,FALSE)-AO51)</f>
        <v>-</v>
      </c>
      <c r="CH51" s="91" t="str">
        <f>IF(AP51="-","-",VLOOKUP($E51,CTPit!$E$10:$AW$175,CH$9,FALSE)-AP51)</f>
        <v>-</v>
      </c>
      <c r="CI51" s="91" t="str">
        <f>IF(AQ51="-","-",VLOOKUP($E51,CTPit!$E$10:$AW$175,CI$9,FALSE)-AQ51)</f>
        <v>-</v>
      </c>
      <c r="CJ51" s="91" t="str">
        <f>IF(AR51="-","-",VLOOKUP($E51,CTPit!$E$10:$AW$175,CJ$9,FALSE)-AR51)</f>
        <v>-</v>
      </c>
      <c r="CK51">
        <f t="shared" si="26"/>
        <v>-3</v>
      </c>
    </row>
    <row r="52" spans="3:89">
      <c r="C52" t="str">
        <f t="shared" si="16"/>
        <v>K</v>
      </c>
      <c r="D52" t="s">
        <v>107</v>
      </c>
      <c r="E52" t="s">
        <v>433</v>
      </c>
      <c r="F52" t="s">
        <v>373</v>
      </c>
      <c r="G52" t="s">
        <v>210</v>
      </c>
      <c r="H52">
        <v>23</v>
      </c>
      <c r="I52" t="s">
        <v>104</v>
      </c>
      <c r="J52" s="219" t="s">
        <v>104</v>
      </c>
      <c r="K52" t="s">
        <v>47</v>
      </c>
      <c r="L52" t="s">
        <v>42</v>
      </c>
      <c r="M52" t="s">
        <v>223</v>
      </c>
      <c r="N52" s="219" t="s">
        <v>227</v>
      </c>
      <c r="O52">
        <v>8</v>
      </c>
      <c r="P52">
        <v>3</v>
      </c>
      <c r="Q52" s="219">
        <v>3</v>
      </c>
      <c r="R52">
        <v>9</v>
      </c>
      <c r="S52">
        <v>3</v>
      </c>
      <c r="T52" s="219">
        <v>4</v>
      </c>
      <c r="U52">
        <v>8</v>
      </c>
      <c r="V52">
        <v>8</v>
      </c>
      <c r="W52" t="s">
        <v>41</v>
      </c>
      <c r="X52" t="s">
        <v>41</v>
      </c>
      <c r="Y52">
        <v>7</v>
      </c>
      <c r="Z52">
        <v>7</v>
      </c>
      <c r="AA52" t="s">
        <v>41</v>
      </c>
      <c r="AB52" t="s">
        <v>41</v>
      </c>
      <c r="AC52" t="s">
        <v>41</v>
      </c>
      <c r="AD52" t="s">
        <v>41</v>
      </c>
      <c r="AE52" t="s">
        <v>41</v>
      </c>
      <c r="AF52" t="s">
        <v>41</v>
      </c>
      <c r="AG52" t="s">
        <v>41</v>
      </c>
      <c r="AH52" t="s">
        <v>41</v>
      </c>
      <c r="AI52" t="s">
        <v>41</v>
      </c>
      <c r="AJ52" t="s">
        <v>41</v>
      </c>
      <c r="AK52" t="s">
        <v>41</v>
      </c>
      <c r="AL52" t="s">
        <v>41</v>
      </c>
      <c r="AM52" t="s">
        <v>41</v>
      </c>
      <c r="AN52" t="s">
        <v>41</v>
      </c>
      <c r="AO52" t="s">
        <v>41</v>
      </c>
      <c r="AP52" t="s">
        <v>41</v>
      </c>
      <c r="AQ52" t="s">
        <v>41</v>
      </c>
      <c r="AR52" s="219" t="s">
        <v>41</v>
      </c>
      <c r="AS52" t="s">
        <v>402</v>
      </c>
      <c r="AT52">
        <v>7</v>
      </c>
      <c r="AU52" s="11">
        <v>0.35</v>
      </c>
      <c r="AV52" s="85" t="s">
        <v>41</v>
      </c>
      <c r="AW52" s="219">
        <v>0</v>
      </c>
      <c r="AX52" s="6">
        <f t="shared" si="17"/>
        <v>4.916666666666667</v>
      </c>
      <c r="AY52" s="9" t="str">
        <f t="shared" si="18"/>
        <v>Bench</v>
      </c>
      <c r="AZ52" s="9">
        <f t="shared" si="19"/>
        <v>5.583333333333333</v>
      </c>
      <c r="BA52" s="9" t="str">
        <f t="shared" si="20"/>
        <v>Reg</v>
      </c>
      <c r="BB52" s="9">
        <f t="shared" si="21"/>
        <v>5.583333333333333</v>
      </c>
      <c r="BC52" s="9" t="str">
        <f t="shared" si="22"/>
        <v>Reg</v>
      </c>
      <c r="BD52" s="84">
        <f t="shared" si="23"/>
        <v>2</v>
      </c>
      <c r="BE52" s="83">
        <f t="shared" si="24"/>
        <v>2</v>
      </c>
      <c r="BF52" t="str">
        <f t="shared" si="25"/>
        <v/>
      </c>
      <c r="BG52" s="91">
        <f>IF(O52="-","-",VLOOKUP($E52,CTPit!$E$10:$AW$175,BG$9,FALSE)-O52)</f>
        <v>0</v>
      </c>
      <c r="BH52" s="91">
        <f>IF(P52="-","-",VLOOKUP($E52,CTPit!$E$10:$AW$175,BH$9,FALSE)-P52)</f>
        <v>0</v>
      </c>
      <c r="BI52" s="91">
        <f>IF(Q52="-","-",VLOOKUP($E52,CTPit!$E$10:$AW$175,BI$9,FALSE)-Q52)</f>
        <v>0</v>
      </c>
      <c r="BJ52" s="91">
        <f>IF(R52="-","-",VLOOKUP($E52,CTPit!$E$10:$AW$175,BJ$9,FALSE)-R52)</f>
        <v>-1</v>
      </c>
      <c r="BK52" s="91">
        <f>IF(S52="-","-",VLOOKUP($E52,CTPit!$E$10:$AW$175,BK$9,FALSE)-S52)</f>
        <v>0</v>
      </c>
      <c r="BL52" s="91">
        <f>IF(T52="-","-",VLOOKUP($E52,CTPit!$E$10:$AW$175,BL$9,FALSE)-T52)</f>
        <v>-1</v>
      </c>
      <c r="BM52" s="91">
        <f>IF(U52="-","-",VLOOKUP($E52,CTPit!$E$10:$AW$175,BM$9,FALSE)-U52)</f>
        <v>0</v>
      </c>
      <c r="BN52" s="91">
        <f>IF(V52="-","-",VLOOKUP($E52,CTPit!$E$10:$AW$175,BN$9,FALSE)-V52)</f>
        <v>0</v>
      </c>
      <c r="BO52" s="91" t="str">
        <f>IF(W52="-","-",VLOOKUP($E52,CTPit!$E$10:$AW$175,BO$9,FALSE)-W52)</f>
        <v>-</v>
      </c>
      <c r="BP52" s="91" t="str">
        <f>IF(X52="-","-",VLOOKUP($E52,CTPit!$E$10:$AW$175,BP$9,FALSE)-X52)</f>
        <v>-</v>
      </c>
      <c r="BQ52" s="91">
        <f>IF(Y52="-","-",VLOOKUP($E52,CTPit!$E$10:$AW$175,BQ$9,FALSE)-Y52)</f>
        <v>0</v>
      </c>
      <c r="BR52" s="91">
        <f>IF(Z52="-","-",VLOOKUP($E52,CTPit!$E$10:$AW$175,BR$9,FALSE)-Z52)</f>
        <v>0</v>
      </c>
      <c r="BS52" s="91" t="str">
        <f>IF(AA52="-","-",VLOOKUP($E52,CTPit!$E$10:$AW$175,BS$9,FALSE)-AA52)</f>
        <v>-</v>
      </c>
      <c r="BT52" s="91" t="str">
        <f>IF(AB52="-","-",VLOOKUP($E52,CTPit!$E$10:$AW$175,BT$9,FALSE)-AB52)</f>
        <v>-</v>
      </c>
      <c r="BU52" s="91" t="str">
        <f>IF(AC52="-","-",VLOOKUP($E52,CTPit!$E$10:$AW$175,BU$9,FALSE)-AC52)</f>
        <v>-</v>
      </c>
      <c r="BV52" s="91" t="str">
        <f>IF(AD52="-","-",VLOOKUP($E52,CTPit!$E$10:$AW$175,BV$9,FALSE)-AD52)</f>
        <v>-</v>
      </c>
      <c r="BW52" s="91" t="str">
        <f>IF(AE52="-","-",VLOOKUP($E52,CTPit!$E$10:$AW$175,BW$9,FALSE)-AE52)</f>
        <v>-</v>
      </c>
      <c r="BX52" s="91" t="str">
        <f>IF(AF52="-","-",VLOOKUP($E52,CTPit!$E$10:$AW$175,BX$9,FALSE)-AF52)</f>
        <v>-</v>
      </c>
      <c r="BY52" s="91" t="str">
        <f>IF(AG52="-","-",VLOOKUP($E52,CTPit!$E$10:$AW$175,BY$9,FALSE)-AG52)</f>
        <v>-</v>
      </c>
      <c r="BZ52" s="91" t="str">
        <f>IF(AH52="-","-",VLOOKUP($E52,CTPit!$E$10:$AW$175,BZ$9,FALSE)-AH52)</f>
        <v>-</v>
      </c>
      <c r="CA52" s="91" t="str">
        <f>IF(AI52="-","-",VLOOKUP($E52,CTPit!$E$10:$AW$175,CA$9,FALSE)-AI52)</f>
        <v>-</v>
      </c>
      <c r="CB52" s="91" t="str">
        <f>IF(AJ52="-","-",VLOOKUP($E52,CTPit!$E$10:$AW$175,CB$9,FALSE)-AJ52)</f>
        <v>-</v>
      </c>
      <c r="CC52" s="91" t="str">
        <f>IF(AK52="-","-",VLOOKUP($E52,CTPit!$E$10:$AW$175,CC$9,FALSE)-AK52)</f>
        <v>-</v>
      </c>
      <c r="CD52" s="91" t="str">
        <f>IF(AL52="-","-",VLOOKUP($E52,CTPit!$E$10:$AW$175,CD$9,FALSE)-AL52)</f>
        <v>-</v>
      </c>
      <c r="CE52" s="91" t="str">
        <f>IF(AM52="-","-",VLOOKUP($E52,CTPit!$E$10:$AW$175,CE$9,FALSE)-AM52)</f>
        <v>-</v>
      </c>
      <c r="CF52" s="91" t="str">
        <f>IF(AN52="-","-",VLOOKUP($E52,CTPit!$E$10:$AW$175,CF$9,FALSE)-AN52)</f>
        <v>-</v>
      </c>
      <c r="CG52" s="91" t="str">
        <f>IF(AO52="-","-",VLOOKUP($E52,CTPit!$E$10:$AW$175,CG$9,FALSE)-AO52)</f>
        <v>-</v>
      </c>
      <c r="CH52" s="91" t="str">
        <f>IF(AP52="-","-",VLOOKUP($E52,CTPit!$E$10:$AW$175,CH$9,FALSE)-AP52)</f>
        <v>-</v>
      </c>
      <c r="CI52" s="91" t="str">
        <f>IF(AQ52="-","-",VLOOKUP($E52,CTPit!$E$10:$AW$175,CI$9,FALSE)-AQ52)</f>
        <v>-</v>
      </c>
      <c r="CJ52" s="91" t="str">
        <f>IF(AR52="-","-",VLOOKUP($E52,CTPit!$E$10:$AW$175,CJ$9,FALSE)-AR52)</f>
        <v>-</v>
      </c>
      <c r="CK52">
        <f t="shared" si="26"/>
        <v>-2</v>
      </c>
    </row>
    <row r="53" spans="3:89">
      <c r="C53" t="str">
        <f t="shared" si="16"/>
        <v>K</v>
      </c>
      <c r="D53" t="s">
        <v>108</v>
      </c>
      <c r="E53" t="s">
        <v>476</v>
      </c>
      <c r="F53" t="s">
        <v>373</v>
      </c>
      <c r="G53" t="s">
        <v>210</v>
      </c>
      <c r="H53">
        <v>22</v>
      </c>
      <c r="I53" t="s">
        <v>104</v>
      </c>
      <c r="J53" s="219" t="s">
        <v>104</v>
      </c>
      <c r="K53" t="s">
        <v>47</v>
      </c>
      <c r="L53" t="s">
        <v>42</v>
      </c>
      <c r="M53" t="s">
        <v>225</v>
      </c>
      <c r="N53" s="219" t="s">
        <v>225</v>
      </c>
      <c r="O53">
        <v>7</v>
      </c>
      <c r="P53">
        <v>4</v>
      </c>
      <c r="Q53" s="219">
        <v>2</v>
      </c>
      <c r="R53">
        <v>7</v>
      </c>
      <c r="S53">
        <v>4</v>
      </c>
      <c r="T53" s="219">
        <v>4</v>
      </c>
      <c r="U53">
        <v>8</v>
      </c>
      <c r="V53">
        <v>8</v>
      </c>
      <c r="W53">
        <v>5</v>
      </c>
      <c r="X53">
        <v>6</v>
      </c>
      <c r="Y53">
        <v>3</v>
      </c>
      <c r="Z53">
        <v>3</v>
      </c>
      <c r="AA53" t="s">
        <v>41</v>
      </c>
      <c r="AB53" t="s">
        <v>41</v>
      </c>
      <c r="AC53" t="s">
        <v>41</v>
      </c>
      <c r="AD53" t="s">
        <v>41</v>
      </c>
      <c r="AE53" t="s">
        <v>41</v>
      </c>
      <c r="AF53" t="s">
        <v>41</v>
      </c>
      <c r="AG53" t="s">
        <v>41</v>
      </c>
      <c r="AH53" t="s">
        <v>41</v>
      </c>
      <c r="AI53">
        <v>7</v>
      </c>
      <c r="AJ53">
        <v>7</v>
      </c>
      <c r="AK53" t="s">
        <v>41</v>
      </c>
      <c r="AL53" t="s">
        <v>41</v>
      </c>
      <c r="AM53" t="s">
        <v>41</v>
      </c>
      <c r="AN53" t="s">
        <v>41</v>
      </c>
      <c r="AO53" t="s">
        <v>41</v>
      </c>
      <c r="AP53" t="s">
        <v>41</v>
      </c>
      <c r="AQ53" t="s">
        <v>41</v>
      </c>
      <c r="AR53" s="219" t="s">
        <v>41</v>
      </c>
      <c r="AS53" t="s">
        <v>402</v>
      </c>
      <c r="AT53">
        <v>5</v>
      </c>
      <c r="AU53" s="11">
        <v>0.45</v>
      </c>
      <c r="AV53" s="85" t="s">
        <v>41</v>
      </c>
      <c r="AW53" s="219">
        <v>0</v>
      </c>
      <c r="AX53" s="6">
        <f t="shared" si="17"/>
        <v>4.833333333333333</v>
      </c>
      <c r="AY53" s="9" t="str">
        <f t="shared" si="18"/>
        <v>Bench</v>
      </c>
      <c r="AZ53" s="9">
        <f t="shared" si="19"/>
        <v>5.5</v>
      </c>
      <c r="BA53" s="9" t="str">
        <f t="shared" si="20"/>
        <v>Reg</v>
      </c>
      <c r="BB53" s="9">
        <f t="shared" si="21"/>
        <v>5.5</v>
      </c>
      <c r="BC53" s="9" t="str">
        <f t="shared" si="22"/>
        <v>Reg</v>
      </c>
      <c r="BD53" s="84">
        <f t="shared" si="23"/>
        <v>4</v>
      </c>
      <c r="BE53" s="83">
        <f t="shared" si="24"/>
        <v>2.5</v>
      </c>
      <c r="BF53" t="str">
        <f t="shared" si="25"/>
        <v/>
      </c>
      <c r="BG53" s="91">
        <f>IF(O53="-","-",VLOOKUP($E53,CTPit!$E$10:$AW$175,BG$9,FALSE)-O53)</f>
        <v>0</v>
      </c>
      <c r="BH53" s="91">
        <f>IF(P53="-","-",VLOOKUP($E53,CTPit!$E$10:$AW$175,BH$9,FALSE)-P53)</f>
        <v>0</v>
      </c>
      <c r="BI53" s="91">
        <f>IF(Q53="-","-",VLOOKUP($E53,CTPit!$E$10:$AW$175,BI$9,FALSE)-Q53)</f>
        <v>0</v>
      </c>
      <c r="BJ53" s="91">
        <f>IF(R53="-","-",VLOOKUP($E53,CTPit!$E$10:$AW$175,BJ$9,FALSE)-R53)</f>
        <v>1</v>
      </c>
      <c r="BK53" s="91">
        <f>IF(S53="-","-",VLOOKUP($E53,CTPit!$E$10:$AW$175,BK$9,FALSE)-S53)</f>
        <v>0</v>
      </c>
      <c r="BL53" s="91">
        <f>IF(T53="-","-",VLOOKUP($E53,CTPit!$E$10:$AW$175,BL$9,FALSE)-T53)</f>
        <v>-1</v>
      </c>
      <c r="BM53" s="91">
        <f>IF(U53="-","-",VLOOKUP($E53,CTPit!$E$10:$AW$175,BM$9,FALSE)-U53)</f>
        <v>0</v>
      </c>
      <c r="BN53" s="91">
        <f>IF(V53="-","-",VLOOKUP($E53,CTPit!$E$10:$AW$175,BN$9,FALSE)-V53)</f>
        <v>0</v>
      </c>
      <c r="BO53" s="91">
        <f>IF(W53="-","-",VLOOKUP($E53,CTPit!$E$10:$AW$175,BO$9,FALSE)-W53)</f>
        <v>2</v>
      </c>
      <c r="BP53" s="91">
        <f>IF(X53="-","-",VLOOKUP($E53,CTPit!$E$10:$AW$175,BP$9,FALSE)-X53)</f>
        <v>1</v>
      </c>
      <c r="BQ53" s="91">
        <f>IF(Y53="-","-",VLOOKUP($E53,CTPit!$E$10:$AW$175,BQ$9,FALSE)-Y53)</f>
        <v>0</v>
      </c>
      <c r="BR53" s="91">
        <f>IF(Z53="-","-",VLOOKUP($E53,CTPit!$E$10:$AW$175,BR$9,FALSE)-Z53)</f>
        <v>0</v>
      </c>
      <c r="BS53" s="91" t="str">
        <f>IF(AA53="-","-",VLOOKUP($E53,CTPit!$E$10:$AW$175,BS$9,FALSE)-AA53)</f>
        <v>-</v>
      </c>
      <c r="BT53" s="91" t="str">
        <f>IF(AB53="-","-",VLOOKUP($E53,CTPit!$E$10:$AW$175,BT$9,FALSE)-AB53)</f>
        <v>-</v>
      </c>
      <c r="BU53" s="91" t="str">
        <f>IF(AC53="-","-",VLOOKUP($E53,CTPit!$E$10:$AW$175,BU$9,FALSE)-AC53)</f>
        <v>-</v>
      </c>
      <c r="BV53" s="91" t="str">
        <f>IF(AD53="-","-",VLOOKUP($E53,CTPit!$E$10:$AW$175,BV$9,FALSE)-AD53)</f>
        <v>-</v>
      </c>
      <c r="BW53" s="91" t="str">
        <f>IF(AE53="-","-",VLOOKUP($E53,CTPit!$E$10:$AW$175,BW$9,FALSE)-AE53)</f>
        <v>-</v>
      </c>
      <c r="BX53" s="91" t="str">
        <f>IF(AF53="-","-",VLOOKUP($E53,CTPit!$E$10:$AW$175,BX$9,FALSE)-AF53)</f>
        <v>-</v>
      </c>
      <c r="BY53" s="91" t="str">
        <f>IF(AG53="-","-",VLOOKUP($E53,CTPit!$E$10:$AW$175,BY$9,FALSE)-AG53)</f>
        <v>-</v>
      </c>
      <c r="BZ53" s="91" t="str">
        <f>IF(AH53="-","-",VLOOKUP($E53,CTPit!$E$10:$AW$175,BZ$9,FALSE)-AH53)</f>
        <v>-</v>
      </c>
      <c r="CA53" s="91">
        <f>IF(AI53="-","-",VLOOKUP($E53,CTPit!$E$10:$AW$175,CA$9,FALSE)-AI53)</f>
        <v>0</v>
      </c>
      <c r="CB53" s="91">
        <f>IF(AJ53="-","-",VLOOKUP($E53,CTPit!$E$10:$AW$175,CB$9,FALSE)-AJ53)</f>
        <v>0</v>
      </c>
      <c r="CC53" s="91" t="str">
        <f>IF(AK53="-","-",VLOOKUP($E53,CTPit!$E$10:$AW$175,CC$9,FALSE)-AK53)</f>
        <v>-</v>
      </c>
      <c r="CD53" s="91" t="str">
        <f>IF(AL53="-","-",VLOOKUP($E53,CTPit!$E$10:$AW$175,CD$9,FALSE)-AL53)</f>
        <v>-</v>
      </c>
      <c r="CE53" s="91" t="str">
        <f>IF(AM53="-","-",VLOOKUP($E53,CTPit!$E$10:$AW$175,CE$9,FALSE)-AM53)</f>
        <v>-</v>
      </c>
      <c r="CF53" s="91" t="str">
        <f>IF(AN53="-","-",VLOOKUP($E53,CTPit!$E$10:$AW$175,CF$9,FALSE)-AN53)</f>
        <v>-</v>
      </c>
      <c r="CG53" s="91" t="str">
        <f>IF(AO53="-","-",VLOOKUP($E53,CTPit!$E$10:$AW$175,CG$9,FALSE)-AO53)</f>
        <v>-</v>
      </c>
      <c r="CH53" s="91" t="str">
        <f>IF(AP53="-","-",VLOOKUP($E53,CTPit!$E$10:$AW$175,CH$9,FALSE)-AP53)</f>
        <v>-</v>
      </c>
      <c r="CI53" s="91" t="str">
        <f>IF(AQ53="-","-",VLOOKUP($E53,CTPit!$E$10:$AW$175,CI$9,FALSE)-AQ53)</f>
        <v>-</v>
      </c>
      <c r="CJ53" s="91" t="str">
        <f>IF(AR53="-","-",VLOOKUP($E53,CTPit!$E$10:$AW$175,CJ$9,FALSE)-AR53)</f>
        <v>-</v>
      </c>
      <c r="CK53">
        <f t="shared" si="26"/>
        <v>3</v>
      </c>
    </row>
    <row r="54" spans="3:89">
      <c r="C54" t="str">
        <f t="shared" si="16"/>
        <v>K</v>
      </c>
      <c r="D54" t="s">
        <v>108</v>
      </c>
      <c r="E54" t="s">
        <v>507</v>
      </c>
      <c r="F54" t="s">
        <v>372</v>
      </c>
      <c r="G54" t="s">
        <v>209</v>
      </c>
      <c r="H54">
        <v>30</v>
      </c>
      <c r="I54" t="s">
        <v>103</v>
      </c>
      <c r="J54" s="219" t="s">
        <v>103</v>
      </c>
      <c r="K54" t="s">
        <v>47</v>
      </c>
      <c r="L54" t="s">
        <v>47</v>
      </c>
      <c r="M54" t="s">
        <v>224</v>
      </c>
      <c r="N54" s="219" t="s">
        <v>223</v>
      </c>
      <c r="O54">
        <v>6</v>
      </c>
      <c r="P54">
        <v>4</v>
      </c>
      <c r="Q54" s="219">
        <v>3</v>
      </c>
      <c r="R54">
        <v>6</v>
      </c>
      <c r="S54">
        <v>4</v>
      </c>
      <c r="T54" s="219">
        <v>3</v>
      </c>
      <c r="U54">
        <v>6</v>
      </c>
      <c r="V54">
        <v>6</v>
      </c>
      <c r="W54">
        <v>7</v>
      </c>
      <c r="X54">
        <v>7</v>
      </c>
      <c r="Y54" t="s">
        <v>41</v>
      </c>
      <c r="Z54" t="s">
        <v>41</v>
      </c>
      <c r="AA54">
        <v>7</v>
      </c>
      <c r="AB54">
        <v>7</v>
      </c>
      <c r="AC54">
        <v>6</v>
      </c>
      <c r="AD54">
        <v>6</v>
      </c>
      <c r="AE54" t="s">
        <v>41</v>
      </c>
      <c r="AF54" t="s">
        <v>41</v>
      </c>
      <c r="AG54" t="s">
        <v>41</v>
      </c>
      <c r="AH54" t="s">
        <v>41</v>
      </c>
      <c r="AI54" t="s">
        <v>41</v>
      </c>
      <c r="AJ54" t="s">
        <v>41</v>
      </c>
      <c r="AK54" t="s">
        <v>41</v>
      </c>
      <c r="AL54" t="s">
        <v>41</v>
      </c>
      <c r="AM54" t="s">
        <v>41</v>
      </c>
      <c r="AN54" t="s">
        <v>41</v>
      </c>
      <c r="AO54" t="s">
        <v>41</v>
      </c>
      <c r="AP54" t="s">
        <v>41</v>
      </c>
      <c r="AQ54" t="s">
        <v>41</v>
      </c>
      <c r="AR54" s="219" t="s">
        <v>41</v>
      </c>
      <c r="AS54" t="s">
        <v>2</v>
      </c>
      <c r="AT54">
        <v>6</v>
      </c>
      <c r="AU54" s="11">
        <v>0.36</v>
      </c>
      <c r="AV54" s="85" t="s">
        <v>41</v>
      </c>
      <c r="AW54" s="219" t="s">
        <v>45</v>
      </c>
      <c r="AX54" s="6">
        <f t="shared" si="17"/>
        <v>4.833333333333333</v>
      </c>
      <c r="AY54" s="9" t="str">
        <f t="shared" si="18"/>
        <v>Bench</v>
      </c>
      <c r="AZ54" s="9">
        <f t="shared" si="19"/>
        <v>4.833333333333333</v>
      </c>
      <c r="BA54" s="9" t="str">
        <f t="shared" si="20"/>
        <v>Bench</v>
      </c>
      <c r="BB54" s="9">
        <f t="shared" si="21"/>
        <v>4.833333333333333</v>
      </c>
      <c r="BC54" s="9" t="str">
        <f t="shared" si="22"/>
        <v>Bench</v>
      </c>
      <c r="BD54" s="84">
        <f t="shared" si="23"/>
        <v>4</v>
      </c>
      <c r="BE54" s="83">
        <f t="shared" si="24"/>
        <v>4</v>
      </c>
      <c r="BF54" t="str">
        <f t="shared" si="25"/>
        <v/>
      </c>
      <c r="BG54" s="91" t="e">
        <f>IF(O54="-","-",VLOOKUP($E54,CTPit!$E$10:$AW$175,BG$9,FALSE)-O54)</f>
        <v>#N/A</v>
      </c>
      <c r="BH54" s="91" t="e">
        <f>IF(P54="-","-",VLOOKUP($E54,CTPit!$E$10:$AW$175,BH$9,FALSE)-P54)</f>
        <v>#N/A</v>
      </c>
      <c r="BI54" s="91" t="e">
        <f>IF(Q54="-","-",VLOOKUP($E54,CTPit!$E$10:$AW$175,BI$9,FALSE)-Q54)</f>
        <v>#N/A</v>
      </c>
      <c r="BJ54" s="91" t="e">
        <f>IF(R54="-","-",VLOOKUP($E54,CTPit!$E$10:$AW$175,BJ$9,FALSE)-R54)</f>
        <v>#N/A</v>
      </c>
      <c r="BK54" s="91" t="e">
        <f>IF(S54="-","-",VLOOKUP($E54,CTPit!$E$10:$AW$175,BK$9,FALSE)-S54)</f>
        <v>#N/A</v>
      </c>
      <c r="BL54" s="91" t="e">
        <f>IF(T54="-","-",VLOOKUP($E54,CTPit!$E$10:$AW$175,BL$9,FALSE)-T54)</f>
        <v>#N/A</v>
      </c>
      <c r="BM54" s="91" t="e">
        <f>IF(U54="-","-",VLOOKUP($E54,CTPit!$E$10:$AW$175,BM$9,FALSE)-U54)</f>
        <v>#N/A</v>
      </c>
      <c r="BN54" s="91" t="e">
        <f>IF(V54="-","-",VLOOKUP($E54,CTPit!$E$10:$AW$175,BN$9,FALSE)-V54)</f>
        <v>#N/A</v>
      </c>
      <c r="BO54" s="91" t="e">
        <f>IF(W54="-","-",VLOOKUP($E54,CTPit!$E$10:$AW$175,BO$9,FALSE)-W54)</f>
        <v>#N/A</v>
      </c>
      <c r="BP54" s="91" t="e">
        <f>IF(X54="-","-",VLOOKUP($E54,CTPit!$E$10:$AW$175,BP$9,FALSE)-X54)</f>
        <v>#N/A</v>
      </c>
      <c r="BQ54" s="91" t="str">
        <f>IF(Y54="-","-",VLOOKUP($E54,CTPit!$E$10:$AW$175,BQ$9,FALSE)-Y54)</f>
        <v>-</v>
      </c>
      <c r="BR54" s="91" t="str">
        <f>IF(Z54="-","-",VLOOKUP($E54,CTPit!$E$10:$AW$175,BR$9,FALSE)-Z54)</f>
        <v>-</v>
      </c>
      <c r="BS54" s="91" t="e">
        <f>IF(AA54="-","-",VLOOKUP($E54,CTPit!$E$10:$AW$175,BS$9,FALSE)-AA54)</f>
        <v>#N/A</v>
      </c>
      <c r="BT54" s="91" t="e">
        <f>IF(AB54="-","-",VLOOKUP($E54,CTPit!$E$10:$AW$175,BT$9,FALSE)-AB54)</f>
        <v>#N/A</v>
      </c>
      <c r="BU54" s="91" t="e">
        <f>IF(AC54="-","-",VLOOKUP($E54,CTPit!$E$10:$AW$175,BU$9,FALSE)-AC54)</f>
        <v>#N/A</v>
      </c>
      <c r="BV54" s="91" t="e">
        <f>IF(AD54="-","-",VLOOKUP($E54,CTPit!$E$10:$AW$175,BV$9,FALSE)-AD54)</f>
        <v>#N/A</v>
      </c>
      <c r="BW54" s="91" t="str">
        <f>IF(AE54="-","-",VLOOKUP($E54,CTPit!$E$10:$AW$175,BW$9,FALSE)-AE54)</f>
        <v>-</v>
      </c>
      <c r="BX54" s="91" t="str">
        <f>IF(AF54="-","-",VLOOKUP($E54,CTPit!$E$10:$AW$175,BX$9,FALSE)-AF54)</f>
        <v>-</v>
      </c>
      <c r="BY54" s="91" t="str">
        <f>IF(AG54="-","-",VLOOKUP($E54,CTPit!$E$10:$AW$175,BY$9,FALSE)-AG54)</f>
        <v>-</v>
      </c>
      <c r="BZ54" s="91" t="str">
        <f>IF(AH54="-","-",VLOOKUP($E54,CTPit!$E$10:$AW$175,BZ$9,FALSE)-AH54)</f>
        <v>-</v>
      </c>
      <c r="CA54" s="91" t="str">
        <f>IF(AI54="-","-",VLOOKUP($E54,CTPit!$E$10:$AW$175,CA$9,FALSE)-AI54)</f>
        <v>-</v>
      </c>
      <c r="CB54" s="91" t="str">
        <f>IF(AJ54="-","-",VLOOKUP($E54,CTPit!$E$10:$AW$175,CB$9,FALSE)-AJ54)</f>
        <v>-</v>
      </c>
      <c r="CC54" s="91" t="str">
        <f>IF(AK54="-","-",VLOOKUP($E54,CTPit!$E$10:$AW$175,CC$9,FALSE)-AK54)</f>
        <v>-</v>
      </c>
      <c r="CD54" s="91" t="str">
        <f>IF(AL54="-","-",VLOOKUP($E54,CTPit!$E$10:$AW$175,CD$9,FALSE)-AL54)</f>
        <v>-</v>
      </c>
      <c r="CE54" s="91" t="str">
        <f>IF(AM54="-","-",VLOOKUP($E54,CTPit!$E$10:$AW$175,CE$9,FALSE)-AM54)</f>
        <v>-</v>
      </c>
      <c r="CF54" s="91" t="str">
        <f>IF(AN54="-","-",VLOOKUP($E54,CTPit!$E$10:$AW$175,CF$9,FALSE)-AN54)</f>
        <v>-</v>
      </c>
      <c r="CG54" s="91" t="str">
        <f>IF(AO54="-","-",VLOOKUP($E54,CTPit!$E$10:$AW$175,CG$9,FALSE)-AO54)</f>
        <v>-</v>
      </c>
      <c r="CH54" s="91" t="str">
        <f>IF(AP54="-","-",VLOOKUP($E54,CTPit!$E$10:$AW$175,CH$9,FALSE)-AP54)</f>
        <v>-</v>
      </c>
      <c r="CI54" s="91" t="str">
        <f>IF(AQ54="-","-",VLOOKUP($E54,CTPit!$E$10:$AW$175,CI$9,FALSE)-AQ54)</f>
        <v>-</v>
      </c>
      <c r="CJ54" s="91" t="str">
        <f>IF(AR54="-","-",VLOOKUP($E54,CTPit!$E$10:$AW$175,CJ$9,FALSE)-AR54)</f>
        <v>-</v>
      </c>
      <c r="CK54" t="e">
        <f t="shared" si="26"/>
        <v>#N/A</v>
      </c>
    </row>
    <row r="55" spans="3:89">
      <c r="C55" t="str">
        <f t="shared" si="16"/>
        <v>K</v>
      </c>
      <c r="D55" t="s">
        <v>107</v>
      </c>
      <c r="E55" t="s">
        <v>339</v>
      </c>
      <c r="F55" t="s">
        <v>372</v>
      </c>
      <c r="G55" t="s">
        <v>209</v>
      </c>
      <c r="H55">
        <v>25</v>
      </c>
      <c r="I55" t="s">
        <v>103</v>
      </c>
      <c r="J55" s="219" t="s">
        <v>103</v>
      </c>
      <c r="K55" t="s">
        <v>47</v>
      </c>
      <c r="L55" t="s">
        <v>42</v>
      </c>
      <c r="M55" t="s">
        <v>225</v>
      </c>
      <c r="N55" s="219" t="s">
        <v>223</v>
      </c>
      <c r="O55">
        <v>4</v>
      </c>
      <c r="P55">
        <v>7</v>
      </c>
      <c r="Q55" s="219">
        <v>2</v>
      </c>
      <c r="R55">
        <v>4</v>
      </c>
      <c r="S55">
        <v>7</v>
      </c>
      <c r="T55" s="219">
        <v>4</v>
      </c>
      <c r="U55">
        <v>4</v>
      </c>
      <c r="V55">
        <v>4</v>
      </c>
      <c r="W55" t="s">
        <v>41</v>
      </c>
      <c r="X55" t="s">
        <v>41</v>
      </c>
      <c r="Y55" t="s">
        <v>41</v>
      </c>
      <c r="Z55" t="s">
        <v>41</v>
      </c>
      <c r="AA55">
        <v>4</v>
      </c>
      <c r="AB55">
        <v>4</v>
      </c>
      <c r="AC55" t="s">
        <v>41</v>
      </c>
      <c r="AD55" t="s">
        <v>41</v>
      </c>
      <c r="AE55" t="s">
        <v>41</v>
      </c>
      <c r="AF55" t="s">
        <v>41</v>
      </c>
      <c r="AG55" t="s">
        <v>41</v>
      </c>
      <c r="AH55" t="s">
        <v>41</v>
      </c>
      <c r="AI55" t="s">
        <v>41</v>
      </c>
      <c r="AJ55" t="s">
        <v>41</v>
      </c>
      <c r="AK55" t="s">
        <v>41</v>
      </c>
      <c r="AL55" t="s">
        <v>41</v>
      </c>
      <c r="AM55" t="s">
        <v>41</v>
      </c>
      <c r="AN55" t="s">
        <v>41</v>
      </c>
      <c r="AO55" t="s">
        <v>41</v>
      </c>
      <c r="AP55" t="s">
        <v>41</v>
      </c>
      <c r="AQ55" t="s">
        <v>41</v>
      </c>
      <c r="AR55" s="219" t="s">
        <v>41</v>
      </c>
      <c r="AS55" t="s">
        <v>1</v>
      </c>
      <c r="AT55">
        <v>3</v>
      </c>
      <c r="AU55" s="11">
        <v>0.63</v>
      </c>
      <c r="AV55" s="85" t="s">
        <v>41</v>
      </c>
      <c r="AW55" s="219">
        <v>0</v>
      </c>
      <c r="AX55" s="6">
        <f t="shared" si="17"/>
        <v>4.583333333333333</v>
      </c>
      <c r="AY55" s="9" t="str">
        <f t="shared" si="18"/>
        <v>Bench</v>
      </c>
      <c r="AZ55" s="9">
        <f t="shared" si="19"/>
        <v>5.25</v>
      </c>
      <c r="BA55" s="9" t="str">
        <f t="shared" si="20"/>
        <v>Reg</v>
      </c>
      <c r="BB55" s="9">
        <f t="shared" si="21"/>
        <v>5.25</v>
      </c>
      <c r="BC55" s="9" t="str">
        <f t="shared" si="22"/>
        <v>Reg</v>
      </c>
      <c r="BD55" s="84">
        <f t="shared" si="23"/>
        <v>2</v>
      </c>
      <c r="BE55" s="83">
        <f t="shared" si="24"/>
        <v>0</v>
      </c>
      <c r="BF55" t="str">
        <f t="shared" si="25"/>
        <v/>
      </c>
      <c r="BG55" s="91">
        <f>IF(O55="-","-",VLOOKUP($E55,CTPit!$E$10:$AW$175,BG$9,FALSE)-O55)</f>
        <v>0</v>
      </c>
      <c r="BH55" s="91">
        <f>IF(P55="-","-",VLOOKUP($E55,CTPit!$E$10:$AW$175,BH$9,FALSE)-P55)</f>
        <v>0</v>
      </c>
      <c r="BI55" s="91">
        <f>IF(Q55="-","-",VLOOKUP($E55,CTPit!$E$10:$AW$175,BI$9,FALSE)-Q55)</f>
        <v>0</v>
      </c>
      <c r="BJ55" s="91">
        <f>IF(R55="-","-",VLOOKUP($E55,CTPit!$E$10:$AW$175,BJ$9,FALSE)-R55)</f>
        <v>0</v>
      </c>
      <c r="BK55" s="91">
        <f>IF(S55="-","-",VLOOKUP($E55,CTPit!$E$10:$AW$175,BK$9,FALSE)-S55)</f>
        <v>0</v>
      </c>
      <c r="BL55" s="91">
        <f>IF(T55="-","-",VLOOKUP($E55,CTPit!$E$10:$AW$175,BL$9,FALSE)-T55)</f>
        <v>-1</v>
      </c>
      <c r="BM55" s="91">
        <f>IF(U55="-","-",VLOOKUP($E55,CTPit!$E$10:$AW$175,BM$9,FALSE)-U55)</f>
        <v>1</v>
      </c>
      <c r="BN55" s="91">
        <f>IF(V55="-","-",VLOOKUP($E55,CTPit!$E$10:$AW$175,BN$9,FALSE)-V55)</f>
        <v>1</v>
      </c>
      <c r="BO55" s="91" t="str">
        <f>IF(W55="-","-",VLOOKUP($E55,CTPit!$E$10:$AW$175,BO$9,FALSE)-W55)</f>
        <v>-</v>
      </c>
      <c r="BP55" s="91" t="str">
        <f>IF(X55="-","-",VLOOKUP($E55,CTPit!$E$10:$AW$175,BP$9,FALSE)-X55)</f>
        <v>-</v>
      </c>
      <c r="BQ55" s="91" t="str">
        <f>IF(Y55="-","-",VLOOKUP($E55,CTPit!$E$10:$AW$175,BQ$9,FALSE)-Y55)</f>
        <v>-</v>
      </c>
      <c r="BR55" s="91" t="str">
        <f>IF(Z55="-","-",VLOOKUP($E55,CTPit!$E$10:$AW$175,BR$9,FALSE)-Z55)</f>
        <v>-</v>
      </c>
      <c r="BS55" s="91">
        <f>IF(AA55="-","-",VLOOKUP($E55,CTPit!$E$10:$AW$175,BS$9,FALSE)-AA55)</f>
        <v>-1</v>
      </c>
      <c r="BT55" s="91">
        <f>IF(AB55="-","-",VLOOKUP($E55,CTPit!$E$10:$AW$175,BT$9,FALSE)-AB55)</f>
        <v>-1</v>
      </c>
      <c r="BU55" s="91" t="str">
        <f>IF(AC55="-","-",VLOOKUP($E55,CTPit!$E$10:$AW$175,BU$9,FALSE)-AC55)</f>
        <v>-</v>
      </c>
      <c r="BV55" s="91" t="str">
        <f>IF(AD55="-","-",VLOOKUP($E55,CTPit!$E$10:$AW$175,BV$9,FALSE)-AD55)</f>
        <v>-</v>
      </c>
      <c r="BW55" s="91" t="str">
        <f>IF(AE55="-","-",VLOOKUP($E55,CTPit!$E$10:$AW$175,BW$9,FALSE)-AE55)</f>
        <v>-</v>
      </c>
      <c r="BX55" s="91" t="str">
        <f>IF(AF55="-","-",VLOOKUP($E55,CTPit!$E$10:$AW$175,BX$9,FALSE)-AF55)</f>
        <v>-</v>
      </c>
      <c r="BY55" s="91" t="str">
        <f>IF(AG55="-","-",VLOOKUP($E55,CTPit!$E$10:$AW$175,BY$9,FALSE)-AG55)</f>
        <v>-</v>
      </c>
      <c r="BZ55" s="91" t="str">
        <f>IF(AH55="-","-",VLOOKUP($E55,CTPit!$E$10:$AW$175,BZ$9,FALSE)-AH55)</f>
        <v>-</v>
      </c>
      <c r="CA55" s="91" t="str">
        <f>IF(AI55="-","-",VLOOKUP($E55,CTPit!$E$10:$AW$175,CA$9,FALSE)-AI55)</f>
        <v>-</v>
      </c>
      <c r="CB55" s="91" t="str">
        <f>IF(AJ55="-","-",VLOOKUP($E55,CTPit!$E$10:$AW$175,CB$9,FALSE)-AJ55)</f>
        <v>-</v>
      </c>
      <c r="CC55" s="91" t="str">
        <f>IF(AK55="-","-",VLOOKUP($E55,CTPit!$E$10:$AW$175,CC$9,FALSE)-AK55)</f>
        <v>-</v>
      </c>
      <c r="CD55" s="91" t="str">
        <f>IF(AL55="-","-",VLOOKUP($E55,CTPit!$E$10:$AW$175,CD$9,FALSE)-AL55)</f>
        <v>-</v>
      </c>
      <c r="CE55" s="91" t="str">
        <f>IF(AM55="-","-",VLOOKUP($E55,CTPit!$E$10:$AW$175,CE$9,FALSE)-AM55)</f>
        <v>-</v>
      </c>
      <c r="CF55" s="91" t="str">
        <f>IF(AN55="-","-",VLOOKUP($E55,CTPit!$E$10:$AW$175,CF$9,FALSE)-AN55)</f>
        <v>-</v>
      </c>
      <c r="CG55" s="91" t="str">
        <f>IF(AO55="-","-",VLOOKUP($E55,CTPit!$E$10:$AW$175,CG$9,FALSE)-AO55)</f>
        <v>-</v>
      </c>
      <c r="CH55" s="91" t="str">
        <f>IF(AP55="-","-",VLOOKUP($E55,CTPit!$E$10:$AW$175,CH$9,FALSE)-AP55)</f>
        <v>-</v>
      </c>
      <c r="CI55" s="91" t="str">
        <f>IF(AQ55="-","-",VLOOKUP($E55,CTPit!$E$10:$AW$175,CI$9,FALSE)-AQ55)</f>
        <v>-</v>
      </c>
      <c r="CJ55" s="91" t="str">
        <f>IF(AR55="-","-",VLOOKUP($E55,CTPit!$E$10:$AW$175,CJ$9,FALSE)-AR55)</f>
        <v>-</v>
      </c>
      <c r="CK55">
        <f t="shared" si="26"/>
        <v>-1</v>
      </c>
    </row>
    <row r="56" spans="3:89">
      <c r="C56" t="str">
        <f t="shared" si="16"/>
        <v>K</v>
      </c>
      <c r="D56" t="s">
        <v>108</v>
      </c>
      <c r="E56" t="s">
        <v>375</v>
      </c>
      <c r="F56" t="s">
        <v>372</v>
      </c>
      <c r="G56" t="s">
        <v>209</v>
      </c>
      <c r="H56">
        <v>21</v>
      </c>
      <c r="I56" t="s">
        <v>104</v>
      </c>
      <c r="J56" s="219" t="s">
        <v>104</v>
      </c>
      <c r="K56" t="s">
        <v>47</v>
      </c>
      <c r="L56" t="s">
        <v>42</v>
      </c>
      <c r="M56" t="s">
        <v>224</v>
      </c>
      <c r="N56" s="219" t="s">
        <v>225</v>
      </c>
      <c r="O56">
        <v>6</v>
      </c>
      <c r="P56">
        <v>4</v>
      </c>
      <c r="Q56" s="219">
        <v>3</v>
      </c>
      <c r="R56">
        <v>6</v>
      </c>
      <c r="S56">
        <v>4</v>
      </c>
      <c r="T56" s="219">
        <v>4</v>
      </c>
      <c r="U56">
        <v>7</v>
      </c>
      <c r="V56">
        <v>7</v>
      </c>
      <c r="W56" t="s">
        <v>41</v>
      </c>
      <c r="X56" t="s">
        <v>41</v>
      </c>
      <c r="Y56" t="s">
        <v>41</v>
      </c>
      <c r="Z56" t="s">
        <v>41</v>
      </c>
      <c r="AA56">
        <v>6</v>
      </c>
      <c r="AB56">
        <v>6</v>
      </c>
      <c r="AC56" t="s">
        <v>41</v>
      </c>
      <c r="AD56" t="s">
        <v>41</v>
      </c>
      <c r="AE56" t="s">
        <v>41</v>
      </c>
      <c r="AF56" t="s">
        <v>41</v>
      </c>
      <c r="AG56" t="s">
        <v>41</v>
      </c>
      <c r="AH56" t="s">
        <v>41</v>
      </c>
      <c r="AI56" t="s">
        <v>41</v>
      </c>
      <c r="AJ56" t="s">
        <v>41</v>
      </c>
      <c r="AK56">
        <v>5</v>
      </c>
      <c r="AL56">
        <v>5</v>
      </c>
      <c r="AM56" t="s">
        <v>41</v>
      </c>
      <c r="AN56" t="s">
        <v>41</v>
      </c>
      <c r="AO56" t="s">
        <v>41</v>
      </c>
      <c r="AP56" t="s">
        <v>41</v>
      </c>
      <c r="AQ56" t="s">
        <v>41</v>
      </c>
      <c r="AR56" s="219" t="s">
        <v>41</v>
      </c>
      <c r="AS56" t="s">
        <v>14</v>
      </c>
      <c r="AT56">
        <v>7</v>
      </c>
      <c r="AU56" s="11">
        <v>0.49</v>
      </c>
      <c r="AV56" s="85" t="s">
        <v>41</v>
      </c>
      <c r="AW56" s="219">
        <v>0</v>
      </c>
      <c r="AX56" s="6">
        <f t="shared" si="17"/>
        <v>4.583333333333333</v>
      </c>
      <c r="AY56" s="9" t="str">
        <f t="shared" si="18"/>
        <v>Bench</v>
      </c>
      <c r="AZ56" s="9">
        <f t="shared" si="19"/>
        <v>4.916666666666667</v>
      </c>
      <c r="BA56" s="9" t="str">
        <f t="shared" si="20"/>
        <v>Bench</v>
      </c>
      <c r="BB56" s="9">
        <f t="shared" si="21"/>
        <v>4.916666666666667</v>
      </c>
      <c r="BC56" s="9" t="str">
        <f t="shared" si="22"/>
        <v>Bench</v>
      </c>
      <c r="BD56" s="84">
        <f t="shared" si="23"/>
        <v>3</v>
      </c>
      <c r="BE56" s="83">
        <f t="shared" si="24"/>
        <v>2</v>
      </c>
      <c r="BF56" t="str">
        <f t="shared" si="25"/>
        <v/>
      </c>
      <c r="BG56" s="91">
        <f>IF(O56="-","-",VLOOKUP($E56,CTPit!$E$10:$AW$175,BG$9,FALSE)-O56)</f>
        <v>0</v>
      </c>
      <c r="BH56" s="91">
        <f>IF(P56="-","-",VLOOKUP($E56,CTPit!$E$10:$AW$175,BH$9,FALSE)-P56)</f>
        <v>0</v>
      </c>
      <c r="BI56" s="91">
        <f>IF(Q56="-","-",VLOOKUP($E56,CTPit!$E$10:$AW$175,BI$9,FALSE)-Q56)</f>
        <v>1</v>
      </c>
      <c r="BJ56" s="91">
        <f>IF(R56="-","-",VLOOKUP($E56,CTPit!$E$10:$AW$175,BJ$9,FALSE)-R56)</f>
        <v>0</v>
      </c>
      <c r="BK56" s="91">
        <f>IF(S56="-","-",VLOOKUP($E56,CTPit!$E$10:$AW$175,BK$9,FALSE)-S56)</f>
        <v>0</v>
      </c>
      <c r="BL56" s="91">
        <f>IF(T56="-","-",VLOOKUP($E56,CTPit!$E$10:$AW$175,BL$9,FALSE)-T56)</f>
        <v>0</v>
      </c>
      <c r="BM56" s="91">
        <f>IF(U56="-","-",VLOOKUP($E56,CTPit!$E$10:$AW$175,BM$9,FALSE)-U56)</f>
        <v>0</v>
      </c>
      <c r="BN56" s="91">
        <f>IF(V56="-","-",VLOOKUP($E56,CTPit!$E$10:$AW$175,BN$9,FALSE)-V56)</f>
        <v>0</v>
      </c>
      <c r="BO56" s="91" t="str">
        <f>IF(W56="-","-",VLOOKUP($E56,CTPit!$E$10:$AW$175,BO$9,FALSE)-W56)</f>
        <v>-</v>
      </c>
      <c r="BP56" s="91" t="str">
        <f>IF(X56="-","-",VLOOKUP($E56,CTPit!$E$10:$AW$175,BP$9,FALSE)-X56)</f>
        <v>-</v>
      </c>
      <c r="BQ56" s="91" t="str">
        <f>IF(Y56="-","-",VLOOKUP($E56,CTPit!$E$10:$AW$175,BQ$9,FALSE)-Y56)</f>
        <v>-</v>
      </c>
      <c r="BR56" s="91" t="str">
        <f>IF(Z56="-","-",VLOOKUP($E56,CTPit!$E$10:$AW$175,BR$9,FALSE)-Z56)</f>
        <v>-</v>
      </c>
      <c r="BS56" s="91">
        <f>IF(AA56="-","-",VLOOKUP($E56,CTPit!$E$10:$AW$175,BS$9,FALSE)-AA56)</f>
        <v>0</v>
      </c>
      <c r="BT56" s="91">
        <f>IF(AB56="-","-",VLOOKUP($E56,CTPit!$E$10:$AW$175,BT$9,FALSE)-AB56)</f>
        <v>0</v>
      </c>
      <c r="BU56" s="91" t="str">
        <f>IF(AC56="-","-",VLOOKUP($E56,CTPit!$E$10:$AW$175,BU$9,FALSE)-AC56)</f>
        <v>-</v>
      </c>
      <c r="BV56" s="91" t="str">
        <f>IF(AD56="-","-",VLOOKUP($E56,CTPit!$E$10:$AW$175,BV$9,FALSE)-AD56)</f>
        <v>-</v>
      </c>
      <c r="BW56" s="91" t="str">
        <f>IF(AE56="-","-",VLOOKUP($E56,CTPit!$E$10:$AW$175,BW$9,FALSE)-AE56)</f>
        <v>-</v>
      </c>
      <c r="BX56" s="91" t="str">
        <f>IF(AF56="-","-",VLOOKUP($E56,CTPit!$E$10:$AW$175,BX$9,FALSE)-AF56)</f>
        <v>-</v>
      </c>
      <c r="BY56" s="91" t="str">
        <f>IF(AG56="-","-",VLOOKUP($E56,CTPit!$E$10:$AW$175,BY$9,FALSE)-AG56)</f>
        <v>-</v>
      </c>
      <c r="BZ56" s="91" t="str">
        <f>IF(AH56="-","-",VLOOKUP($E56,CTPit!$E$10:$AW$175,BZ$9,FALSE)-AH56)</f>
        <v>-</v>
      </c>
      <c r="CA56" s="91" t="str">
        <f>IF(AI56="-","-",VLOOKUP($E56,CTPit!$E$10:$AW$175,CA$9,FALSE)-AI56)</f>
        <v>-</v>
      </c>
      <c r="CB56" s="91" t="str">
        <f>IF(AJ56="-","-",VLOOKUP($E56,CTPit!$E$10:$AW$175,CB$9,FALSE)-AJ56)</f>
        <v>-</v>
      </c>
      <c r="CC56" s="91">
        <f>IF(AK56="-","-",VLOOKUP($E56,CTPit!$E$10:$AW$175,CC$9,FALSE)-AK56)</f>
        <v>0</v>
      </c>
      <c r="CD56" s="91">
        <f>IF(AL56="-","-",VLOOKUP($E56,CTPit!$E$10:$AW$175,CD$9,FALSE)-AL56)</f>
        <v>0</v>
      </c>
      <c r="CE56" s="91" t="str">
        <f>IF(AM56="-","-",VLOOKUP($E56,CTPit!$E$10:$AW$175,CE$9,FALSE)-AM56)</f>
        <v>-</v>
      </c>
      <c r="CF56" s="91" t="str">
        <f>IF(AN56="-","-",VLOOKUP($E56,CTPit!$E$10:$AW$175,CF$9,FALSE)-AN56)</f>
        <v>-</v>
      </c>
      <c r="CG56" s="91" t="str">
        <f>IF(AO56="-","-",VLOOKUP($E56,CTPit!$E$10:$AW$175,CG$9,FALSE)-AO56)</f>
        <v>-</v>
      </c>
      <c r="CH56" s="91" t="str">
        <f>IF(AP56="-","-",VLOOKUP($E56,CTPit!$E$10:$AW$175,CH$9,FALSE)-AP56)</f>
        <v>-</v>
      </c>
      <c r="CI56" s="91" t="str">
        <f>IF(AQ56="-","-",VLOOKUP($E56,CTPit!$E$10:$AW$175,CI$9,FALSE)-AQ56)</f>
        <v>-</v>
      </c>
      <c r="CJ56" s="91" t="str">
        <f>IF(AR56="-","-",VLOOKUP($E56,CTPit!$E$10:$AW$175,CJ$9,FALSE)-AR56)</f>
        <v>-</v>
      </c>
      <c r="CK56">
        <f t="shared" si="26"/>
        <v>1</v>
      </c>
    </row>
    <row r="57" spans="3:89">
      <c r="C57" t="str">
        <f t="shared" si="16"/>
        <v>K</v>
      </c>
      <c r="D57" t="s">
        <v>108</v>
      </c>
      <c r="E57" t="s">
        <v>479</v>
      </c>
      <c r="F57" t="s">
        <v>370</v>
      </c>
      <c r="G57" t="s">
        <v>316</v>
      </c>
      <c r="H57">
        <v>22</v>
      </c>
      <c r="I57" t="s">
        <v>104</v>
      </c>
      <c r="J57" s="219" t="s">
        <v>104</v>
      </c>
      <c r="K57" t="s">
        <v>47</v>
      </c>
      <c r="L57" t="s">
        <v>42</v>
      </c>
      <c r="M57" t="s">
        <v>224</v>
      </c>
      <c r="N57" s="219" t="s">
        <v>225</v>
      </c>
      <c r="O57">
        <v>6</v>
      </c>
      <c r="P57">
        <v>4</v>
      </c>
      <c r="Q57" s="219">
        <v>2</v>
      </c>
      <c r="R57">
        <v>6</v>
      </c>
      <c r="S57">
        <v>4</v>
      </c>
      <c r="T57" s="219">
        <v>4</v>
      </c>
      <c r="U57">
        <v>7</v>
      </c>
      <c r="V57">
        <v>7</v>
      </c>
      <c r="W57">
        <v>5</v>
      </c>
      <c r="X57">
        <v>5</v>
      </c>
      <c r="Y57" t="s">
        <v>41</v>
      </c>
      <c r="Z57" t="s">
        <v>41</v>
      </c>
      <c r="AA57" t="s">
        <v>41</v>
      </c>
      <c r="AB57" t="s">
        <v>41</v>
      </c>
      <c r="AC57" t="s">
        <v>41</v>
      </c>
      <c r="AD57" t="s">
        <v>41</v>
      </c>
      <c r="AE57">
        <v>5</v>
      </c>
      <c r="AF57">
        <v>5</v>
      </c>
      <c r="AG57" t="s">
        <v>41</v>
      </c>
      <c r="AH57" t="s">
        <v>41</v>
      </c>
      <c r="AI57">
        <v>6</v>
      </c>
      <c r="AJ57">
        <v>6</v>
      </c>
      <c r="AK57" t="s">
        <v>41</v>
      </c>
      <c r="AL57" t="s">
        <v>41</v>
      </c>
      <c r="AM57" t="s">
        <v>41</v>
      </c>
      <c r="AN57" t="s">
        <v>41</v>
      </c>
      <c r="AO57" t="s">
        <v>41</v>
      </c>
      <c r="AP57" t="s">
        <v>41</v>
      </c>
      <c r="AQ57" t="s">
        <v>41</v>
      </c>
      <c r="AR57" s="219" t="s">
        <v>41</v>
      </c>
      <c r="AS57" t="s">
        <v>14</v>
      </c>
      <c r="AT57">
        <v>6</v>
      </c>
      <c r="AU57" s="11">
        <v>0.54</v>
      </c>
      <c r="AV57" s="85" t="s">
        <v>41</v>
      </c>
      <c r="AW57" s="219">
        <v>0</v>
      </c>
      <c r="AX57" s="6">
        <f t="shared" si="17"/>
        <v>4.5</v>
      </c>
      <c r="AY57" s="9" t="str">
        <f t="shared" si="18"/>
        <v>Bench</v>
      </c>
      <c r="AZ57" s="9">
        <f t="shared" si="19"/>
        <v>5.166666666666667</v>
      </c>
      <c r="BA57" s="9" t="str">
        <f t="shared" si="20"/>
        <v>Reg</v>
      </c>
      <c r="BB57" s="9">
        <f t="shared" si="21"/>
        <v>5.166666666666667</v>
      </c>
      <c r="BC57" s="9" t="str">
        <f t="shared" si="22"/>
        <v>Reg</v>
      </c>
      <c r="BD57" s="84">
        <f t="shared" si="23"/>
        <v>4</v>
      </c>
      <c r="BE57" s="83">
        <f t="shared" si="24"/>
        <v>2</v>
      </c>
      <c r="BF57" t="str">
        <f t="shared" si="25"/>
        <v/>
      </c>
      <c r="BG57" s="91">
        <f>IF(O57="-","-",VLOOKUP($E57,CTPit!$E$10:$AW$175,BG$9,FALSE)-O57)</f>
        <v>0</v>
      </c>
      <c r="BH57" s="91">
        <f>IF(P57="-","-",VLOOKUP($E57,CTPit!$E$10:$AW$175,BH$9,FALSE)-P57)</f>
        <v>0</v>
      </c>
      <c r="BI57" s="91">
        <f>IF(Q57="-","-",VLOOKUP($E57,CTPit!$E$10:$AW$175,BI$9,FALSE)-Q57)</f>
        <v>0</v>
      </c>
      <c r="BJ57" s="91">
        <f>IF(R57="-","-",VLOOKUP($E57,CTPit!$E$10:$AW$175,BJ$9,FALSE)-R57)</f>
        <v>0</v>
      </c>
      <c r="BK57" s="91">
        <f>IF(S57="-","-",VLOOKUP($E57,CTPit!$E$10:$AW$175,BK$9,FALSE)-S57)</f>
        <v>0</v>
      </c>
      <c r="BL57" s="91">
        <f>IF(T57="-","-",VLOOKUP($E57,CTPit!$E$10:$AW$175,BL$9,FALSE)-T57)</f>
        <v>-1</v>
      </c>
      <c r="BM57" s="91">
        <f>IF(U57="-","-",VLOOKUP($E57,CTPit!$E$10:$AW$175,BM$9,FALSE)-U57)</f>
        <v>0</v>
      </c>
      <c r="BN57" s="91">
        <f>IF(V57="-","-",VLOOKUP($E57,CTPit!$E$10:$AW$175,BN$9,FALSE)-V57)</f>
        <v>0</v>
      </c>
      <c r="BO57" s="91">
        <f>IF(W57="-","-",VLOOKUP($E57,CTPit!$E$10:$AW$175,BO$9,FALSE)-W57)</f>
        <v>0</v>
      </c>
      <c r="BP57" s="91">
        <f>IF(X57="-","-",VLOOKUP($E57,CTPit!$E$10:$AW$175,BP$9,FALSE)-X57)</f>
        <v>1</v>
      </c>
      <c r="BQ57" s="91" t="str">
        <f>IF(Y57="-","-",VLOOKUP($E57,CTPit!$E$10:$AW$175,BQ$9,FALSE)-Y57)</f>
        <v>-</v>
      </c>
      <c r="BR57" s="91" t="str">
        <f>IF(Z57="-","-",VLOOKUP($E57,CTPit!$E$10:$AW$175,BR$9,FALSE)-Z57)</f>
        <v>-</v>
      </c>
      <c r="BS57" s="91" t="str">
        <f>IF(AA57="-","-",VLOOKUP($E57,CTPit!$E$10:$AW$175,BS$9,FALSE)-AA57)</f>
        <v>-</v>
      </c>
      <c r="BT57" s="91" t="str">
        <f>IF(AB57="-","-",VLOOKUP($E57,CTPit!$E$10:$AW$175,BT$9,FALSE)-AB57)</f>
        <v>-</v>
      </c>
      <c r="BU57" s="91" t="str">
        <f>IF(AC57="-","-",VLOOKUP($E57,CTPit!$E$10:$AW$175,BU$9,FALSE)-AC57)</f>
        <v>-</v>
      </c>
      <c r="BV57" s="91" t="str">
        <f>IF(AD57="-","-",VLOOKUP($E57,CTPit!$E$10:$AW$175,BV$9,FALSE)-AD57)</f>
        <v>-</v>
      </c>
      <c r="BW57" s="91">
        <f>IF(AE57="-","-",VLOOKUP($E57,CTPit!$E$10:$AW$175,BW$9,FALSE)-AE57)</f>
        <v>0</v>
      </c>
      <c r="BX57" s="91">
        <f>IF(AF57="-","-",VLOOKUP($E57,CTPit!$E$10:$AW$175,BX$9,FALSE)-AF57)</f>
        <v>0</v>
      </c>
      <c r="BY57" s="91" t="str">
        <f>IF(AG57="-","-",VLOOKUP($E57,CTPit!$E$10:$AW$175,BY$9,FALSE)-AG57)</f>
        <v>-</v>
      </c>
      <c r="BZ57" s="91" t="str">
        <f>IF(AH57="-","-",VLOOKUP($E57,CTPit!$E$10:$AW$175,BZ$9,FALSE)-AH57)</f>
        <v>-</v>
      </c>
      <c r="CA57" s="91">
        <f>IF(AI57="-","-",VLOOKUP($E57,CTPit!$E$10:$AW$175,CA$9,FALSE)-AI57)</f>
        <v>0</v>
      </c>
      <c r="CB57" s="91">
        <f>IF(AJ57="-","-",VLOOKUP($E57,CTPit!$E$10:$AW$175,CB$9,FALSE)-AJ57)</f>
        <v>0</v>
      </c>
      <c r="CC57" s="91" t="str">
        <f>IF(AK57="-","-",VLOOKUP($E57,CTPit!$E$10:$AW$175,CC$9,FALSE)-AK57)</f>
        <v>-</v>
      </c>
      <c r="CD57" s="91" t="str">
        <f>IF(AL57="-","-",VLOOKUP($E57,CTPit!$E$10:$AW$175,CD$9,FALSE)-AL57)</f>
        <v>-</v>
      </c>
      <c r="CE57" s="91" t="str">
        <f>IF(AM57="-","-",VLOOKUP($E57,CTPit!$E$10:$AW$175,CE$9,FALSE)-AM57)</f>
        <v>-</v>
      </c>
      <c r="CF57" s="91" t="str">
        <f>IF(AN57="-","-",VLOOKUP($E57,CTPit!$E$10:$AW$175,CF$9,FALSE)-AN57)</f>
        <v>-</v>
      </c>
      <c r="CG57" s="91" t="str">
        <f>IF(AO57="-","-",VLOOKUP($E57,CTPit!$E$10:$AW$175,CG$9,FALSE)-AO57)</f>
        <v>-</v>
      </c>
      <c r="CH57" s="91" t="str">
        <f>IF(AP57="-","-",VLOOKUP($E57,CTPit!$E$10:$AW$175,CH$9,FALSE)-AP57)</f>
        <v>-</v>
      </c>
      <c r="CI57" s="91" t="str">
        <f>IF(AQ57="-","-",VLOOKUP($E57,CTPit!$E$10:$AW$175,CI$9,FALSE)-AQ57)</f>
        <v>-</v>
      </c>
      <c r="CJ57" s="91" t="str">
        <f>IF(AR57="-","-",VLOOKUP($E57,CTPit!$E$10:$AW$175,CJ$9,FALSE)-AR57)</f>
        <v>-</v>
      </c>
      <c r="CK57">
        <f t="shared" si="26"/>
        <v>0</v>
      </c>
    </row>
    <row r="58" spans="3:89">
      <c r="C58" t="str">
        <f t="shared" si="16"/>
        <v>K</v>
      </c>
      <c r="D58" t="s">
        <v>107</v>
      </c>
      <c r="E58" t="s">
        <v>478</v>
      </c>
      <c r="F58" t="s">
        <v>370</v>
      </c>
      <c r="G58" t="s">
        <v>316</v>
      </c>
      <c r="H58">
        <v>22</v>
      </c>
      <c r="I58" t="s">
        <v>104</v>
      </c>
      <c r="J58" s="219" t="s">
        <v>103</v>
      </c>
      <c r="K58" t="s">
        <v>47</v>
      </c>
      <c r="L58" t="s">
        <v>42</v>
      </c>
      <c r="M58" t="s">
        <v>225</v>
      </c>
      <c r="N58" s="219" t="s">
        <v>225</v>
      </c>
      <c r="O58">
        <v>6</v>
      </c>
      <c r="P58">
        <v>4</v>
      </c>
      <c r="Q58" s="219">
        <v>2</v>
      </c>
      <c r="R58">
        <v>6</v>
      </c>
      <c r="S58">
        <v>4</v>
      </c>
      <c r="T58" s="219">
        <v>4</v>
      </c>
      <c r="U58">
        <v>7</v>
      </c>
      <c r="V58">
        <v>7</v>
      </c>
      <c r="W58">
        <v>4</v>
      </c>
      <c r="X58">
        <v>4</v>
      </c>
      <c r="Y58" t="s">
        <v>41</v>
      </c>
      <c r="Z58" t="s">
        <v>41</v>
      </c>
      <c r="AA58" t="s">
        <v>41</v>
      </c>
      <c r="AB58" t="s">
        <v>41</v>
      </c>
      <c r="AC58" t="s">
        <v>41</v>
      </c>
      <c r="AD58" t="s">
        <v>41</v>
      </c>
      <c r="AE58" t="s">
        <v>41</v>
      </c>
      <c r="AF58" t="s">
        <v>41</v>
      </c>
      <c r="AG58">
        <v>6</v>
      </c>
      <c r="AH58">
        <v>6</v>
      </c>
      <c r="AI58">
        <v>6</v>
      </c>
      <c r="AJ58">
        <v>6</v>
      </c>
      <c r="AK58" t="s">
        <v>41</v>
      </c>
      <c r="AL58" t="s">
        <v>41</v>
      </c>
      <c r="AM58" t="s">
        <v>41</v>
      </c>
      <c r="AN58" t="s">
        <v>41</v>
      </c>
      <c r="AO58" t="s">
        <v>41</v>
      </c>
      <c r="AP58" t="s">
        <v>41</v>
      </c>
      <c r="AQ58" t="s">
        <v>41</v>
      </c>
      <c r="AR58" s="219" t="s">
        <v>41</v>
      </c>
      <c r="AS58" t="s">
        <v>434</v>
      </c>
      <c r="AT58">
        <v>4</v>
      </c>
      <c r="AU58" s="11">
        <v>0.45</v>
      </c>
      <c r="AV58" s="85" t="s">
        <v>41</v>
      </c>
      <c r="AW58" s="219">
        <v>0</v>
      </c>
      <c r="AX58" s="6">
        <f t="shared" si="17"/>
        <v>4.5</v>
      </c>
      <c r="AY58" s="9" t="str">
        <f t="shared" si="18"/>
        <v>Bench</v>
      </c>
      <c r="AZ58" s="9">
        <f t="shared" si="19"/>
        <v>5.166666666666667</v>
      </c>
      <c r="BA58" s="9" t="str">
        <f t="shared" si="20"/>
        <v>Reg</v>
      </c>
      <c r="BB58" s="9">
        <f t="shared" si="21"/>
        <v>5.166666666666667</v>
      </c>
      <c r="BC58" s="9" t="str">
        <f t="shared" si="22"/>
        <v>Reg</v>
      </c>
      <c r="BD58" s="84">
        <f t="shared" si="23"/>
        <v>4</v>
      </c>
      <c r="BE58" s="83">
        <f t="shared" si="24"/>
        <v>3</v>
      </c>
      <c r="BF58" t="str">
        <f t="shared" si="25"/>
        <v/>
      </c>
      <c r="BG58" s="91">
        <f>IF(O58="-","-",VLOOKUP($E58,CTPit!$E$10:$AW$175,BG$9,FALSE)-O58)</f>
        <v>0</v>
      </c>
      <c r="BH58" s="91">
        <f>IF(P58="-","-",VLOOKUP($E58,CTPit!$E$10:$AW$175,BH$9,FALSE)-P58)</f>
        <v>0</v>
      </c>
      <c r="BI58" s="91">
        <f>IF(Q58="-","-",VLOOKUP($E58,CTPit!$E$10:$AW$175,BI$9,FALSE)-Q58)</f>
        <v>0</v>
      </c>
      <c r="BJ58" s="91">
        <f>IF(R58="-","-",VLOOKUP($E58,CTPit!$E$10:$AW$175,BJ$9,FALSE)-R58)</f>
        <v>0</v>
      </c>
      <c r="BK58" s="91">
        <f>IF(S58="-","-",VLOOKUP($E58,CTPit!$E$10:$AW$175,BK$9,FALSE)-S58)</f>
        <v>0</v>
      </c>
      <c r="BL58" s="91">
        <f>IF(T58="-","-",VLOOKUP($E58,CTPit!$E$10:$AW$175,BL$9,FALSE)-T58)</f>
        <v>0</v>
      </c>
      <c r="BM58" s="91">
        <f>IF(U58="-","-",VLOOKUP($E58,CTPit!$E$10:$AW$175,BM$9,FALSE)-U58)</f>
        <v>0</v>
      </c>
      <c r="BN58" s="91">
        <f>IF(V58="-","-",VLOOKUP($E58,CTPit!$E$10:$AW$175,BN$9,FALSE)-V58)</f>
        <v>0</v>
      </c>
      <c r="BO58" s="91">
        <f>IF(W58="-","-",VLOOKUP($E58,CTPit!$E$10:$AW$175,BO$9,FALSE)-W58)</f>
        <v>0</v>
      </c>
      <c r="BP58" s="91">
        <f>IF(X58="-","-",VLOOKUP($E58,CTPit!$E$10:$AW$175,BP$9,FALSE)-X58)</f>
        <v>0</v>
      </c>
      <c r="BQ58" s="91" t="str">
        <f>IF(Y58="-","-",VLOOKUP($E58,CTPit!$E$10:$AW$175,BQ$9,FALSE)-Y58)</f>
        <v>-</v>
      </c>
      <c r="BR58" s="91" t="str">
        <f>IF(Z58="-","-",VLOOKUP($E58,CTPit!$E$10:$AW$175,BR$9,FALSE)-Z58)</f>
        <v>-</v>
      </c>
      <c r="BS58" s="91" t="str">
        <f>IF(AA58="-","-",VLOOKUP($E58,CTPit!$E$10:$AW$175,BS$9,FALSE)-AA58)</f>
        <v>-</v>
      </c>
      <c r="BT58" s="91" t="str">
        <f>IF(AB58="-","-",VLOOKUP($E58,CTPit!$E$10:$AW$175,BT$9,FALSE)-AB58)</f>
        <v>-</v>
      </c>
      <c r="BU58" s="91" t="str">
        <f>IF(AC58="-","-",VLOOKUP($E58,CTPit!$E$10:$AW$175,BU$9,FALSE)-AC58)</f>
        <v>-</v>
      </c>
      <c r="BV58" s="91" t="str">
        <f>IF(AD58="-","-",VLOOKUP($E58,CTPit!$E$10:$AW$175,BV$9,FALSE)-AD58)</f>
        <v>-</v>
      </c>
      <c r="BW58" s="91" t="str">
        <f>IF(AE58="-","-",VLOOKUP($E58,CTPit!$E$10:$AW$175,BW$9,FALSE)-AE58)</f>
        <v>-</v>
      </c>
      <c r="BX58" s="91" t="str">
        <f>IF(AF58="-","-",VLOOKUP($E58,CTPit!$E$10:$AW$175,BX$9,FALSE)-AF58)</f>
        <v>-</v>
      </c>
      <c r="BY58" s="91">
        <f>IF(AG58="-","-",VLOOKUP($E58,CTPit!$E$10:$AW$175,BY$9,FALSE)-AG58)</f>
        <v>0</v>
      </c>
      <c r="BZ58" s="91">
        <f>IF(AH58="-","-",VLOOKUP($E58,CTPit!$E$10:$AW$175,BZ$9,FALSE)-AH58)</f>
        <v>0</v>
      </c>
      <c r="CA58" s="91">
        <f>IF(AI58="-","-",VLOOKUP($E58,CTPit!$E$10:$AW$175,CA$9,FALSE)-AI58)</f>
        <v>0</v>
      </c>
      <c r="CB58" s="91">
        <f>IF(AJ58="-","-",VLOOKUP($E58,CTPit!$E$10:$AW$175,CB$9,FALSE)-AJ58)</f>
        <v>0</v>
      </c>
      <c r="CC58" s="91" t="str">
        <f>IF(AK58="-","-",VLOOKUP($E58,CTPit!$E$10:$AW$175,CC$9,FALSE)-AK58)</f>
        <v>-</v>
      </c>
      <c r="CD58" s="91" t="str">
        <f>IF(AL58="-","-",VLOOKUP($E58,CTPit!$E$10:$AW$175,CD$9,FALSE)-AL58)</f>
        <v>-</v>
      </c>
      <c r="CE58" s="91" t="str">
        <f>IF(AM58="-","-",VLOOKUP($E58,CTPit!$E$10:$AW$175,CE$9,FALSE)-AM58)</f>
        <v>-</v>
      </c>
      <c r="CF58" s="91" t="str">
        <f>IF(AN58="-","-",VLOOKUP($E58,CTPit!$E$10:$AW$175,CF$9,FALSE)-AN58)</f>
        <v>-</v>
      </c>
      <c r="CG58" s="91" t="str">
        <f>IF(AO58="-","-",VLOOKUP($E58,CTPit!$E$10:$AW$175,CG$9,FALSE)-AO58)</f>
        <v>-</v>
      </c>
      <c r="CH58" s="91" t="str">
        <f>IF(AP58="-","-",VLOOKUP($E58,CTPit!$E$10:$AW$175,CH$9,FALSE)-AP58)</f>
        <v>-</v>
      </c>
      <c r="CI58" s="91" t="str">
        <f>IF(AQ58="-","-",VLOOKUP($E58,CTPit!$E$10:$AW$175,CI$9,FALSE)-AQ58)</f>
        <v>-</v>
      </c>
      <c r="CJ58" s="91" t="str">
        <f>IF(AR58="-","-",VLOOKUP($E58,CTPit!$E$10:$AW$175,CJ$9,FALSE)-AR58)</f>
        <v>-</v>
      </c>
      <c r="CK58">
        <f t="shared" si="26"/>
        <v>0</v>
      </c>
    </row>
    <row r="59" spans="3:89">
      <c r="C59" t="str">
        <f t="shared" si="16"/>
        <v>K</v>
      </c>
      <c r="D59" t="s">
        <v>108</v>
      </c>
      <c r="E59" t="s">
        <v>234</v>
      </c>
      <c r="F59" t="s">
        <v>373</v>
      </c>
      <c r="G59" t="s">
        <v>210</v>
      </c>
      <c r="H59">
        <v>26</v>
      </c>
      <c r="I59" t="s">
        <v>104</v>
      </c>
      <c r="J59" s="219" t="s">
        <v>103</v>
      </c>
      <c r="K59" t="s">
        <v>47</v>
      </c>
      <c r="L59" t="s">
        <v>47</v>
      </c>
      <c r="M59" t="s">
        <v>225</v>
      </c>
      <c r="N59" s="219" t="s">
        <v>225</v>
      </c>
      <c r="O59">
        <v>4</v>
      </c>
      <c r="P59">
        <v>5</v>
      </c>
      <c r="Q59" s="219">
        <v>3</v>
      </c>
      <c r="R59">
        <v>5</v>
      </c>
      <c r="S59">
        <v>5</v>
      </c>
      <c r="T59" s="219">
        <v>3</v>
      </c>
      <c r="U59">
        <v>4</v>
      </c>
      <c r="V59">
        <v>5</v>
      </c>
      <c r="W59">
        <v>2</v>
      </c>
      <c r="X59">
        <v>3</v>
      </c>
      <c r="Y59" t="s">
        <v>41</v>
      </c>
      <c r="Z59" t="s">
        <v>41</v>
      </c>
      <c r="AA59">
        <v>5</v>
      </c>
      <c r="AB59">
        <v>5</v>
      </c>
      <c r="AC59" t="s">
        <v>41</v>
      </c>
      <c r="AD59" t="s">
        <v>41</v>
      </c>
      <c r="AE59">
        <v>4</v>
      </c>
      <c r="AF59">
        <v>5</v>
      </c>
      <c r="AG59">
        <v>5</v>
      </c>
      <c r="AH59">
        <v>5</v>
      </c>
      <c r="AI59" t="s">
        <v>41</v>
      </c>
      <c r="AJ59" t="s">
        <v>41</v>
      </c>
      <c r="AK59" t="s">
        <v>41</v>
      </c>
      <c r="AL59" t="s">
        <v>41</v>
      </c>
      <c r="AM59" t="s">
        <v>41</v>
      </c>
      <c r="AN59" t="s">
        <v>41</v>
      </c>
      <c r="AO59" t="s">
        <v>41</v>
      </c>
      <c r="AP59" t="s">
        <v>41</v>
      </c>
      <c r="AQ59" t="s">
        <v>41</v>
      </c>
      <c r="AR59" s="219" t="s">
        <v>41</v>
      </c>
      <c r="AS59" t="s">
        <v>6</v>
      </c>
      <c r="AT59">
        <v>6</v>
      </c>
      <c r="AU59" s="11">
        <v>0.54</v>
      </c>
      <c r="AV59" s="85" t="s">
        <v>41</v>
      </c>
      <c r="AW59" s="219">
        <v>0</v>
      </c>
      <c r="AX59" s="6">
        <f t="shared" si="17"/>
        <v>4.5</v>
      </c>
      <c r="AY59" s="9" t="str">
        <f t="shared" si="18"/>
        <v>Bench</v>
      </c>
      <c r="AZ59" s="9">
        <f t="shared" si="19"/>
        <v>4.833333333333333</v>
      </c>
      <c r="BA59" s="9" t="str">
        <f t="shared" si="20"/>
        <v>Bench</v>
      </c>
      <c r="BB59" s="9">
        <f t="shared" si="21"/>
        <v>4.833333333333333</v>
      </c>
      <c r="BC59" s="9" t="str">
        <f t="shared" si="22"/>
        <v>Bench</v>
      </c>
      <c r="BD59" s="84">
        <f t="shared" si="23"/>
        <v>5</v>
      </c>
      <c r="BE59" s="83">
        <f t="shared" si="24"/>
        <v>0</v>
      </c>
      <c r="BF59" t="str">
        <f t="shared" si="25"/>
        <v/>
      </c>
      <c r="BG59" s="91" t="e">
        <f>IF(O59="-","-",VLOOKUP($E59,CTPit!$E$10:$AW$175,BG$9,FALSE)-O59)</f>
        <v>#N/A</v>
      </c>
      <c r="BH59" s="91" t="e">
        <f>IF(P59="-","-",VLOOKUP($E59,CTPit!$E$10:$AW$175,BH$9,FALSE)-P59)</f>
        <v>#N/A</v>
      </c>
      <c r="BI59" s="91" t="e">
        <f>IF(Q59="-","-",VLOOKUP($E59,CTPit!$E$10:$AW$175,BI$9,FALSE)-Q59)</f>
        <v>#N/A</v>
      </c>
      <c r="BJ59" s="91" t="e">
        <f>IF(R59="-","-",VLOOKUP($E59,CTPit!$E$10:$AW$175,BJ$9,FALSE)-R59)</f>
        <v>#N/A</v>
      </c>
      <c r="BK59" s="91" t="e">
        <f>IF(S59="-","-",VLOOKUP($E59,CTPit!$E$10:$AW$175,BK$9,FALSE)-S59)</f>
        <v>#N/A</v>
      </c>
      <c r="BL59" s="91" t="e">
        <f>IF(T59="-","-",VLOOKUP($E59,CTPit!$E$10:$AW$175,BL$9,FALSE)-T59)</f>
        <v>#N/A</v>
      </c>
      <c r="BM59" s="91" t="e">
        <f>IF(U59="-","-",VLOOKUP($E59,CTPit!$E$10:$AW$175,BM$9,FALSE)-U59)</f>
        <v>#N/A</v>
      </c>
      <c r="BN59" s="91" t="e">
        <f>IF(V59="-","-",VLOOKUP($E59,CTPit!$E$10:$AW$175,BN$9,FALSE)-V59)</f>
        <v>#N/A</v>
      </c>
      <c r="BO59" s="91" t="e">
        <f>IF(W59="-","-",VLOOKUP($E59,CTPit!$E$10:$AW$175,BO$9,FALSE)-W59)</f>
        <v>#N/A</v>
      </c>
      <c r="BP59" s="91" t="e">
        <f>IF(X59="-","-",VLOOKUP($E59,CTPit!$E$10:$AW$175,BP$9,FALSE)-X59)</f>
        <v>#N/A</v>
      </c>
      <c r="BQ59" s="91" t="str">
        <f>IF(Y59="-","-",VLOOKUP($E59,CTPit!$E$10:$AW$175,BQ$9,FALSE)-Y59)</f>
        <v>-</v>
      </c>
      <c r="BR59" s="91" t="str">
        <f>IF(Z59="-","-",VLOOKUP($E59,CTPit!$E$10:$AW$175,BR$9,FALSE)-Z59)</f>
        <v>-</v>
      </c>
      <c r="BS59" s="91" t="e">
        <f>IF(AA59="-","-",VLOOKUP($E59,CTPit!$E$10:$AW$175,BS$9,FALSE)-AA59)</f>
        <v>#N/A</v>
      </c>
      <c r="BT59" s="91" t="e">
        <f>IF(AB59="-","-",VLOOKUP($E59,CTPit!$E$10:$AW$175,BT$9,FALSE)-AB59)</f>
        <v>#N/A</v>
      </c>
      <c r="BU59" s="91" t="str">
        <f>IF(AC59="-","-",VLOOKUP($E59,CTPit!$E$10:$AW$175,BU$9,FALSE)-AC59)</f>
        <v>-</v>
      </c>
      <c r="BV59" s="91" t="str">
        <f>IF(AD59="-","-",VLOOKUP($E59,CTPit!$E$10:$AW$175,BV$9,FALSE)-AD59)</f>
        <v>-</v>
      </c>
      <c r="BW59" s="91" t="e">
        <f>IF(AE59="-","-",VLOOKUP($E59,CTPit!$E$10:$AW$175,BW$9,FALSE)-AE59)</f>
        <v>#N/A</v>
      </c>
      <c r="BX59" s="91" t="e">
        <f>IF(AF59="-","-",VLOOKUP($E59,CTPit!$E$10:$AW$175,BX$9,FALSE)-AF59)</f>
        <v>#N/A</v>
      </c>
      <c r="BY59" s="91" t="e">
        <f>IF(AG59="-","-",VLOOKUP($E59,CTPit!$E$10:$AW$175,BY$9,FALSE)-AG59)</f>
        <v>#N/A</v>
      </c>
      <c r="BZ59" s="91" t="e">
        <f>IF(AH59="-","-",VLOOKUP($E59,CTPit!$E$10:$AW$175,BZ$9,FALSE)-AH59)</f>
        <v>#N/A</v>
      </c>
      <c r="CA59" s="91" t="str">
        <f>IF(AI59="-","-",VLOOKUP($E59,CTPit!$E$10:$AW$175,CA$9,FALSE)-AI59)</f>
        <v>-</v>
      </c>
      <c r="CB59" s="91" t="str">
        <f>IF(AJ59="-","-",VLOOKUP($E59,CTPit!$E$10:$AW$175,CB$9,FALSE)-AJ59)</f>
        <v>-</v>
      </c>
      <c r="CC59" s="91" t="str">
        <f>IF(AK59="-","-",VLOOKUP($E59,CTPit!$E$10:$AW$175,CC$9,FALSE)-AK59)</f>
        <v>-</v>
      </c>
      <c r="CD59" s="91" t="str">
        <f>IF(AL59="-","-",VLOOKUP($E59,CTPit!$E$10:$AW$175,CD$9,FALSE)-AL59)</f>
        <v>-</v>
      </c>
      <c r="CE59" s="91" t="str">
        <f>IF(AM59="-","-",VLOOKUP($E59,CTPit!$E$10:$AW$175,CE$9,FALSE)-AM59)</f>
        <v>-</v>
      </c>
      <c r="CF59" s="91" t="str">
        <f>IF(AN59="-","-",VLOOKUP($E59,CTPit!$E$10:$AW$175,CF$9,FALSE)-AN59)</f>
        <v>-</v>
      </c>
      <c r="CG59" s="91" t="str">
        <f>IF(AO59="-","-",VLOOKUP($E59,CTPit!$E$10:$AW$175,CG$9,FALSE)-AO59)</f>
        <v>-</v>
      </c>
      <c r="CH59" s="91" t="str">
        <f>IF(AP59="-","-",VLOOKUP($E59,CTPit!$E$10:$AW$175,CH$9,FALSE)-AP59)</f>
        <v>-</v>
      </c>
      <c r="CI59" s="91" t="str">
        <f>IF(AQ59="-","-",VLOOKUP($E59,CTPit!$E$10:$AW$175,CI$9,FALSE)-AQ59)</f>
        <v>-</v>
      </c>
      <c r="CJ59" s="91" t="str">
        <f>IF(AR59="-","-",VLOOKUP($E59,CTPit!$E$10:$AW$175,CJ$9,FALSE)-AR59)</f>
        <v>-</v>
      </c>
      <c r="CK59" t="e">
        <f t="shared" si="26"/>
        <v>#N/A</v>
      </c>
    </row>
    <row r="60" spans="3:89">
      <c r="C60" t="str">
        <f t="shared" si="16"/>
        <v>K</v>
      </c>
      <c r="D60" t="s">
        <v>107</v>
      </c>
      <c r="E60" t="s">
        <v>397</v>
      </c>
      <c r="F60" t="s">
        <v>370</v>
      </c>
      <c r="G60" t="s">
        <v>316</v>
      </c>
      <c r="H60">
        <v>20</v>
      </c>
      <c r="I60" t="s">
        <v>103</v>
      </c>
      <c r="J60" s="219" t="s">
        <v>103</v>
      </c>
      <c r="K60" t="s">
        <v>47</v>
      </c>
      <c r="L60" t="s">
        <v>42</v>
      </c>
      <c r="M60" t="s">
        <v>225</v>
      </c>
      <c r="N60" s="219" t="s">
        <v>225</v>
      </c>
      <c r="O60">
        <v>5</v>
      </c>
      <c r="P60">
        <v>3</v>
      </c>
      <c r="Q60" s="219">
        <v>3</v>
      </c>
      <c r="R60">
        <v>5</v>
      </c>
      <c r="S60">
        <v>4</v>
      </c>
      <c r="T60" s="219">
        <v>6</v>
      </c>
      <c r="U60">
        <v>6</v>
      </c>
      <c r="V60">
        <v>6</v>
      </c>
      <c r="W60">
        <v>5</v>
      </c>
      <c r="X60">
        <v>5</v>
      </c>
      <c r="Y60">
        <v>4</v>
      </c>
      <c r="Z60">
        <v>4</v>
      </c>
      <c r="AA60" t="s">
        <v>41</v>
      </c>
      <c r="AB60" t="s">
        <v>41</v>
      </c>
      <c r="AC60" t="s">
        <v>41</v>
      </c>
      <c r="AD60" t="s">
        <v>41</v>
      </c>
      <c r="AE60">
        <v>5</v>
      </c>
      <c r="AF60">
        <v>5</v>
      </c>
      <c r="AG60" t="s">
        <v>41</v>
      </c>
      <c r="AH60" t="s">
        <v>41</v>
      </c>
      <c r="AI60">
        <v>5</v>
      </c>
      <c r="AJ60">
        <v>5</v>
      </c>
      <c r="AK60" t="s">
        <v>41</v>
      </c>
      <c r="AL60" t="s">
        <v>41</v>
      </c>
      <c r="AM60" t="s">
        <v>41</v>
      </c>
      <c r="AN60" t="s">
        <v>41</v>
      </c>
      <c r="AO60" t="s">
        <v>41</v>
      </c>
      <c r="AP60" t="s">
        <v>41</v>
      </c>
      <c r="AQ60" t="s">
        <v>41</v>
      </c>
      <c r="AR60" s="219" t="s">
        <v>41</v>
      </c>
      <c r="AS60" t="s">
        <v>15</v>
      </c>
      <c r="AT60">
        <v>7</v>
      </c>
      <c r="AU60" s="11">
        <v>0.34</v>
      </c>
      <c r="AV60" s="85" t="s">
        <v>41</v>
      </c>
      <c r="AW60" s="219">
        <v>0</v>
      </c>
      <c r="AX60" s="6">
        <f t="shared" si="17"/>
        <v>4.4166666666666661</v>
      </c>
      <c r="AY60" s="9" t="str">
        <f t="shared" si="18"/>
        <v>Bench</v>
      </c>
      <c r="AZ60" s="9">
        <f t="shared" si="19"/>
        <v>5.75</v>
      </c>
      <c r="BA60" s="9" t="str">
        <f t="shared" si="20"/>
        <v>Reg</v>
      </c>
      <c r="BB60" s="9">
        <f t="shared" si="21"/>
        <v>5.75</v>
      </c>
      <c r="BC60" s="9" t="str">
        <f t="shared" si="22"/>
        <v>Reg</v>
      </c>
      <c r="BD60" s="84">
        <f t="shared" si="23"/>
        <v>5</v>
      </c>
      <c r="BE60" s="83">
        <f t="shared" si="24"/>
        <v>1</v>
      </c>
      <c r="BF60" t="str">
        <f t="shared" si="25"/>
        <v/>
      </c>
      <c r="BG60" s="91">
        <f>IF(O60="-","-",VLOOKUP($E60,CTPit!$E$10:$AW$175,BG$9,FALSE)-O60)</f>
        <v>1</v>
      </c>
      <c r="BH60" s="91">
        <f>IF(P60="-","-",VLOOKUP($E60,CTPit!$E$10:$AW$175,BH$9,FALSE)-P60)</f>
        <v>1</v>
      </c>
      <c r="BI60" s="91">
        <f>IF(Q60="-","-",VLOOKUP($E60,CTPit!$E$10:$AW$175,BI$9,FALSE)-Q60)</f>
        <v>1</v>
      </c>
      <c r="BJ60" s="91">
        <f>IF(R60="-","-",VLOOKUP($E60,CTPit!$E$10:$AW$175,BJ$9,FALSE)-R60)</f>
        <v>1</v>
      </c>
      <c r="BK60" s="91">
        <f>IF(S60="-","-",VLOOKUP($E60,CTPit!$E$10:$AW$175,BK$9,FALSE)-S60)</f>
        <v>0</v>
      </c>
      <c r="BL60" s="91">
        <f>IF(T60="-","-",VLOOKUP($E60,CTPit!$E$10:$AW$175,BL$9,FALSE)-T60)</f>
        <v>0</v>
      </c>
      <c r="BM60" s="91">
        <f>IF(U60="-","-",VLOOKUP($E60,CTPit!$E$10:$AW$175,BM$9,FALSE)-U60)</f>
        <v>0</v>
      </c>
      <c r="BN60" s="91">
        <f>IF(V60="-","-",VLOOKUP($E60,CTPit!$E$10:$AW$175,BN$9,FALSE)-V60)</f>
        <v>0</v>
      </c>
      <c r="BO60" s="91">
        <f>IF(W60="-","-",VLOOKUP($E60,CTPit!$E$10:$AW$175,BO$9,FALSE)-W60)</f>
        <v>0</v>
      </c>
      <c r="BP60" s="91">
        <f>IF(X60="-","-",VLOOKUP($E60,CTPit!$E$10:$AW$175,BP$9,FALSE)-X60)</f>
        <v>0</v>
      </c>
      <c r="BQ60" s="91">
        <f>IF(Y60="-","-",VLOOKUP($E60,CTPit!$E$10:$AW$175,BQ$9,FALSE)-Y60)</f>
        <v>0</v>
      </c>
      <c r="BR60" s="91">
        <f>IF(Z60="-","-",VLOOKUP($E60,CTPit!$E$10:$AW$175,BR$9,FALSE)-Z60)</f>
        <v>0</v>
      </c>
      <c r="BS60" s="91" t="str">
        <f>IF(AA60="-","-",VLOOKUP($E60,CTPit!$E$10:$AW$175,BS$9,FALSE)-AA60)</f>
        <v>-</v>
      </c>
      <c r="BT60" s="91" t="str">
        <f>IF(AB60="-","-",VLOOKUP($E60,CTPit!$E$10:$AW$175,BT$9,FALSE)-AB60)</f>
        <v>-</v>
      </c>
      <c r="BU60" s="91" t="str">
        <f>IF(AC60="-","-",VLOOKUP($E60,CTPit!$E$10:$AW$175,BU$9,FALSE)-AC60)</f>
        <v>-</v>
      </c>
      <c r="BV60" s="91" t="str">
        <f>IF(AD60="-","-",VLOOKUP($E60,CTPit!$E$10:$AW$175,BV$9,FALSE)-AD60)</f>
        <v>-</v>
      </c>
      <c r="BW60" s="91">
        <f>IF(AE60="-","-",VLOOKUP($E60,CTPit!$E$10:$AW$175,BW$9,FALSE)-AE60)</f>
        <v>0</v>
      </c>
      <c r="BX60" s="91">
        <f>IF(AF60="-","-",VLOOKUP($E60,CTPit!$E$10:$AW$175,BX$9,FALSE)-AF60)</f>
        <v>0</v>
      </c>
      <c r="BY60" s="91" t="str">
        <f>IF(AG60="-","-",VLOOKUP($E60,CTPit!$E$10:$AW$175,BY$9,FALSE)-AG60)</f>
        <v>-</v>
      </c>
      <c r="BZ60" s="91" t="str">
        <f>IF(AH60="-","-",VLOOKUP($E60,CTPit!$E$10:$AW$175,BZ$9,FALSE)-AH60)</f>
        <v>-</v>
      </c>
      <c r="CA60" s="91">
        <f>IF(AI60="-","-",VLOOKUP($E60,CTPit!$E$10:$AW$175,CA$9,FALSE)-AI60)</f>
        <v>0</v>
      </c>
      <c r="CB60" s="91">
        <f>IF(AJ60="-","-",VLOOKUP($E60,CTPit!$E$10:$AW$175,CB$9,FALSE)-AJ60)</f>
        <v>0</v>
      </c>
      <c r="CC60" s="91" t="str">
        <f>IF(AK60="-","-",VLOOKUP($E60,CTPit!$E$10:$AW$175,CC$9,FALSE)-AK60)</f>
        <v>-</v>
      </c>
      <c r="CD60" s="91" t="str">
        <f>IF(AL60="-","-",VLOOKUP($E60,CTPit!$E$10:$AW$175,CD$9,FALSE)-AL60)</f>
        <v>-</v>
      </c>
      <c r="CE60" s="91" t="str">
        <f>IF(AM60="-","-",VLOOKUP($E60,CTPit!$E$10:$AW$175,CE$9,FALSE)-AM60)</f>
        <v>-</v>
      </c>
      <c r="CF60" s="91" t="str">
        <f>IF(AN60="-","-",VLOOKUP($E60,CTPit!$E$10:$AW$175,CF$9,FALSE)-AN60)</f>
        <v>-</v>
      </c>
      <c r="CG60" s="91" t="str">
        <f>IF(AO60="-","-",VLOOKUP($E60,CTPit!$E$10:$AW$175,CG$9,FALSE)-AO60)</f>
        <v>-</v>
      </c>
      <c r="CH60" s="91" t="str">
        <f>IF(AP60="-","-",VLOOKUP($E60,CTPit!$E$10:$AW$175,CH$9,FALSE)-AP60)</f>
        <v>-</v>
      </c>
      <c r="CI60" s="91" t="str">
        <f>IF(AQ60="-","-",VLOOKUP($E60,CTPit!$E$10:$AW$175,CI$9,FALSE)-AQ60)</f>
        <v>-</v>
      </c>
      <c r="CJ60" s="91" t="str">
        <f>IF(AR60="-","-",VLOOKUP($E60,CTPit!$E$10:$AW$175,CJ$9,FALSE)-AR60)</f>
        <v>-</v>
      </c>
      <c r="CK60">
        <f t="shared" si="26"/>
        <v>4</v>
      </c>
    </row>
    <row r="61" spans="3:89">
      <c r="C61" t="str">
        <f t="shared" si="16"/>
        <v>K</v>
      </c>
      <c r="D61" t="s">
        <v>108</v>
      </c>
      <c r="E61" t="s">
        <v>393</v>
      </c>
      <c r="F61" t="s">
        <v>370</v>
      </c>
      <c r="G61" t="s">
        <v>316</v>
      </c>
      <c r="H61">
        <v>21</v>
      </c>
      <c r="I61" t="s">
        <v>104</v>
      </c>
      <c r="J61" s="219" t="s">
        <v>104</v>
      </c>
      <c r="K61" t="s">
        <v>47</v>
      </c>
      <c r="L61" t="s">
        <v>47</v>
      </c>
      <c r="M61" t="s">
        <v>226</v>
      </c>
      <c r="N61" s="219" t="s">
        <v>225</v>
      </c>
      <c r="O61">
        <v>5</v>
      </c>
      <c r="P61">
        <v>3</v>
      </c>
      <c r="Q61" s="219">
        <v>3</v>
      </c>
      <c r="R61">
        <v>5</v>
      </c>
      <c r="S61">
        <v>3</v>
      </c>
      <c r="T61" s="219">
        <v>5</v>
      </c>
      <c r="U61">
        <v>6</v>
      </c>
      <c r="V61">
        <v>6</v>
      </c>
      <c r="W61">
        <v>4</v>
      </c>
      <c r="X61">
        <v>4</v>
      </c>
      <c r="Y61">
        <v>2</v>
      </c>
      <c r="Z61">
        <v>3</v>
      </c>
      <c r="AA61" t="s">
        <v>41</v>
      </c>
      <c r="AB61" t="s">
        <v>41</v>
      </c>
      <c r="AC61" t="s">
        <v>41</v>
      </c>
      <c r="AD61" t="s">
        <v>41</v>
      </c>
      <c r="AE61">
        <v>5</v>
      </c>
      <c r="AF61">
        <v>5</v>
      </c>
      <c r="AG61" t="s">
        <v>41</v>
      </c>
      <c r="AH61" t="s">
        <v>41</v>
      </c>
      <c r="AI61">
        <v>5</v>
      </c>
      <c r="AJ61">
        <v>5</v>
      </c>
      <c r="AK61" t="s">
        <v>41</v>
      </c>
      <c r="AL61" t="s">
        <v>41</v>
      </c>
      <c r="AM61" t="s">
        <v>41</v>
      </c>
      <c r="AN61" t="s">
        <v>41</v>
      </c>
      <c r="AO61" t="s">
        <v>41</v>
      </c>
      <c r="AP61" t="s">
        <v>41</v>
      </c>
      <c r="AQ61" t="s">
        <v>41</v>
      </c>
      <c r="AR61" s="219" t="s">
        <v>41</v>
      </c>
      <c r="AS61" t="s">
        <v>242</v>
      </c>
      <c r="AT61">
        <v>9</v>
      </c>
      <c r="AU61" s="11">
        <v>0.36</v>
      </c>
      <c r="AV61" s="85" t="s">
        <v>41</v>
      </c>
      <c r="AW61" s="219">
        <v>0</v>
      </c>
      <c r="AX61" s="6">
        <f t="shared" si="17"/>
        <v>4.4166666666666661</v>
      </c>
      <c r="AY61" s="9" t="str">
        <f t="shared" si="18"/>
        <v>Bench</v>
      </c>
      <c r="AZ61" s="9">
        <f t="shared" si="19"/>
        <v>5.083333333333333</v>
      </c>
      <c r="BA61" s="9" t="str">
        <f t="shared" si="20"/>
        <v>Reg</v>
      </c>
      <c r="BB61" s="9">
        <f t="shared" si="21"/>
        <v>5.083333333333333</v>
      </c>
      <c r="BC61" s="9" t="str">
        <f t="shared" si="22"/>
        <v>Reg</v>
      </c>
      <c r="BD61" s="84">
        <f t="shared" si="23"/>
        <v>5</v>
      </c>
      <c r="BE61" s="83">
        <f t="shared" si="24"/>
        <v>1</v>
      </c>
      <c r="BF61" t="str">
        <f t="shared" si="25"/>
        <v/>
      </c>
      <c r="BG61" s="91">
        <f>IF(O61="-","-",VLOOKUP($E61,CTPit!$E$10:$AW$175,BG$9,FALSE)-O61)</f>
        <v>0</v>
      </c>
      <c r="BH61" s="91">
        <f>IF(P61="-","-",VLOOKUP($E61,CTPit!$E$10:$AW$175,BH$9,FALSE)-P61)</f>
        <v>0</v>
      </c>
      <c r="BI61" s="91">
        <f>IF(Q61="-","-",VLOOKUP($E61,CTPit!$E$10:$AW$175,BI$9,FALSE)-Q61)</f>
        <v>0</v>
      </c>
      <c r="BJ61" s="91">
        <f>IF(R61="-","-",VLOOKUP($E61,CTPit!$E$10:$AW$175,BJ$9,FALSE)-R61)</f>
        <v>0</v>
      </c>
      <c r="BK61" s="91">
        <f>IF(S61="-","-",VLOOKUP($E61,CTPit!$E$10:$AW$175,BK$9,FALSE)-S61)</f>
        <v>0</v>
      </c>
      <c r="BL61" s="91">
        <f>IF(T61="-","-",VLOOKUP($E61,CTPit!$E$10:$AW$175,BL$9,FALSE)-T61)</f>
        <v>1</v>
      </c>
      <c r="BM61" s="91">
        <f>IF(U61="-","-",VLOOKUP($E61,CTPit!$E$10:$AW$175,BM$9,FALSE)-U61)</f>
        <v>0</v>
      </c>
      <c r="BN61" s="91">
        <f>IF(V61="-","-",VLOOKUP($E61,CTPit!$E$10:$AW$175,BN$9,FALSE)-V61)</f>
        <v>0</v>
      </c>
      <c r="BO61" s="91">
        <f>IF(W61="-","-",VLOOKUP($E61,CTPit!$E$10:$AW$175,BO$9,FALSE)-W61)</f>
        <v>1</v>
      </c>
      <c r="BP61" s="91">
        <f>IF(X61="-","-",VLOOKUP($E61,CTPit!$E$10:$AW$175,BP$9,FALSE)-X61)</f>
        <v>1</v>
      </c>
      <c r="BQ61" s="91">
        <f>IF(Y61="-","-",VLOOKUP($E61,CTPit!$E$10:$AW$175,BQ$9,FALSE)-Y61)</f>
        <v>1</v>
      </c>
      <c r="BR61" s="91">
        <f>IF(Z61="-","-",VLOOKUP($E61,CTPit!$E$10:$AW$175,BR$9,FALSE)-Z61)</f>
        <v>0</v>
      </c>
      <c r="BS61" s="91" t="str">
        <f>IF(AA61="-","-",VLOOKUP($E61,CTPit!$E$10:$AW$175,BS$9,FALSE)-AA61)</f>
        <v>-</v>
      </c>
      <c r="BT61" s="91" t="str">
        <f>IF(AB61="-","-",VLOOKUP($E61,CTPit!$E$10:$AW$175,BT$9,FALSE)-AB61)</f>
        <v>-</v>
      </c>
      <c r="BU61" s="91" t="str">
        <f>IF(AC61="-","-",VLOOKUP($E61,CTPit!$E$10:$AW$175,BU$9,FALSE)-AC61)</f>
        <v>-</v>
      </c>
      <c r="BV61" s="91" t="str">
        <f>IF(AD61="-","-",VLOOKUP($E61,CTPit!$E$10:$AW$175,BV$9,FALSE)-AD61)</f>
        <v>-</v>
      </c>
      <c r="BW61" s="91">
        <f>IF(AE61="-","-",VLOOKUP($E61,CTPit!$E$10:$AW$175,BW$9,FALSE)-AE61)</f>
        <v>0</v>
      </c>
      <c r="BX61" s="91">
        <f>IF(AF61="-","-",VLOOKUP($E61,CTPit!$E$10:$AW$175,BX$9,FALSE)-AF61)</f>
        <v>0</v>
      </c>
      <c r="BY61" s="91" t="str">
        <f>IF(AG61="-","-",VLOOKUP($E61,CTPit!$E$10:$AW$175,BY$9,FALSE)-AG61)</f>
        <v>-</v>
      </c>
      <c r="BZ61" s="91" t="str">
        <f>IF(AH61="-","-",VLOOKUP($E61,CTPit!$E$10:$AW$175,BZ$9,FALSE)-AH61)</f>
        <v>-</v>
      </c>
      <c r="CA61" s="91">
        <f>IF(AI61="-","-",VLOOKUP($E61,CTPit!$E$10:$AW$175,CA$9,FALSE)-AI61)</f>
        <v>0</v>
      </c>
      <c r="CB61" s="91">
        <f>IF(AJ61="-","-",VLOOKUP($E61,CTPit!$E$10:$AW$175,CB$9,FALSE)-AJ61)</f>
        <v>0</v>
      </c>
      <c r="CC61" s="91" t="str">
        <f>IF(AK61="-","-",VLOOKUP($E61,CTPit!$E$10:$AW$175,CC$9,FALSE)-AK61)</f>
        <v>-</v>
      </c>
      <c r="CD61" s="91" t="str">
        <f>IF(AL61="-","-",VLOOKUP($E61,CTPit!$E$10:$AW$175,CD$9,FALSE)-AL61)</f>
        <v>-</v>
      </c>
      <c r="CE61" s="91" t="str">
        <f>IF(AM61="-","-",VLOOKUP($E61,CTPit!$E$10:$AW$175,CE$9,FALSE)-AM61)</f>
        <v>-</v>
      </c>
      <c r="CF61" s="91" t="str">
        <f>IF(AN61="-","-",VLOOKUP($E61,CTPit!$E$10:$AW$175,CF$9,FALSE)-AN61)</f>
        <v>-</v>
      </c>
      <c r="CG61" s="91" t="str">
        <f>IF(AO61="-","-",VLOOKUP($E61,CTPit!$E$10:$AW$175,CG$9,FALSE)-AO61)</f>
        <v>-</v>
      </c>
      <c r="CH61" s="91" t="str">
        <f>IF(AP61="-","-",VLOOKUP($E61,CTPit!$E$10:$AW$175,CH$9,FALSE)-AP61)</f>
        <v>-</v>
      </c>
      <c r="CI61" s="91" t="str">
        <f>IF(AQ61="-","-",VLOOKUP($E61,CTPit!$E$10:$AW$175,CI$9,FALSE)-AQ61)</f>
        <v>-</v>
      </c>
      <c r="CJ61" s="91" t="str">
        <f>IF(AR61="-","-",VLOOKUP($E61,CTPit!$E$10:$AW$175,CJ$9,FALSE)-AR61)</f>
        <v>-</v>
      </c>
      <c r="CK61">
        <f t="shared" si="26"/>
        <v>4</v>
      </c>
    </row>
    <row r="62" spans="3:89">
      <c r="C62" t="str">
        <f t="shared" si="16"/>
        <v>K</v>
      </c>
      <c r="D62" t="s">
        <v>107</v>
      </c>
      <c r="E62" t="s">
        <v>336</v>
      </c>
      <c r="F62" t="s">
        <v>373</v>
      </c>
      <c r="G62" t="s">
        <v>210</v>
      </c>
      <c r="H62">
        <v>25</v>
      </c>
      <c r="I62" t="s">
        <v>104</v>
      </c>
      <c r="J62" s="222" t="s">
        <v>104</v>
      </c>
      <c r="K62" t="s">
        <v>47</v>
      </c>
      <c r="L62" t="s">
        <v>42</v>
      </c>
      <c r="M62" t="s">
        <v>226</v>
      </c>
      <c r="N62" s="222" t="s">
        <v>223</v>
      </c>
      <c r="O62">
        <v>4</v>
      </c>
      <c r="P62">
        <v>6</v>
      </c>
      <c r="Q62" s="222">
        <v>3</v>
      </c>
      <c r="R62">
        <v>5</v>
      </c>
      <c r="S62">
        <v>6</v>
      </c>
      <c r="T62" s="222">
        <v>5</v>
      </c>
      <c r="U62">
        <v>5</v>
      </c>
      <c r="V62">
        <v>5</v>
      </c>
      <c r="W62">
        <v>4</v>
      </c>
      <c r="X62">
        <v>4</v>
      </c>
      <c r="Y62">
        <v>5</v>
      </c>
      <c r="Z62">
        <v>5</v>
      </c>
      <c r="AA62" t="s">
        <v>41</v>
      </c>
      <c r="AB62" t="s">
        <v>41</v>
      </c>
      <c r="AC62" t="s">
        <v>41</v>
      </c>
      <c r="AD62" t="s">
        <v>41</v>
      </c>
      <c r="AE62" t="s">
        <v>41</v>
      </c>
      <c r="AF62" t="s">
        <v>41</v>
      </c>
      <c r="AG62" t="s">
        <v>41</v>
      </c>
      <c r="AH62" t="s">
        <v>41</v>
      </c>
      <c r="AI62" t="s">
        <v>41</v>
      </c>
      <c r="AJ62" t="s">
        <v>41</v>
      </c>
      <c r="AK62" t="s">
        <v>41</v>
      </c>
      <c r="AL62" t="s">
        <v>41</v>
      </c>
      <c r="AM62" t="s">
        <v>41</v>
      </c>
      <c r="AN62" t="s">
        <v>41</v>
      </c>
      <c r="AO62" t="s">
        <v>41</v>
      </c>
      <c r="AP62" t="s">
        <v>41</v>
      </c>
      <c r="AQ62" t="s">
        <v>41</v>
      </c>
      <c r="AR62" s="222" t="s">
        <v>41</v>
      </c>
      <c r="AS62" t="s">
        <v>1</v>
      </c>
      <c r="AT62">
        <v>4</v>
      </c>
      <c r="AU62" s="11">
        <v>0.51</v>
      </c>
      <c r="AV62" s="85" t="s">
        <v>41</v>
      </c>
      <c r="AW62" s="222">
        <v>0</v>
      </c>
      <c r="AX62" s="6">
        <f t="shared" si="17"/>
        <v>4.333333333333333</v>
      </c>
      <c r="AY62" s="9" t="str">
        <f t="shared" si="18"/>
        <v>Bench</v>
      </c>
      <c r="AZ62" s="9">
        <f t="shared" si="19"/>
        <v>5.333333333333333</v>
      </c>
      <c r="BA62" s="9" t="str">
        <f t="shared" si="20"/>
        <v>Reg</v>
      </c>
      <c r="BB62" s="9">
        <f t="shared" si="21"/>
        <v>5.333333333333333</v>
      </c>
      <c r="BC62" s="9" t="str">
        <f t="shared" si="22"/>
        <v>Reg</v>
      </c>
      <c r="BD62" s="84">
        <f t="shared" si="23"/>
        <v>3</v>
      </c>
      <c r="BE62" s="83">
        <f t="shared" si="24"/>
        <v>0</v>
      </c>
      <c r="BF62" t="str">
        <f t="shared" si="25"/>
        <v/>
      </c>
      <c r="BG62" s="91">
        <f>IF(O62="-","-",VLOOKUP($E62,CTPit!$E$10:$AW$175,BG$9,FALSE)-O62)</f>
        <v>0</v>
      </c>
      <c r="BH62" s="91">
        <f>IF(P62="-","-",VLOOKUP($E62,CTPit!$E$10:$AW$175,BH$9,FALSE)-P62)</f>
        <v>0</v>
      </c>
      <c r="BI62" s="91">
        <f>IF(Q62="-","-",VLOOKUP($E62,CTPit!$E$10:$AW$175,BI$9,FALSE)-Q62)</f>
        <v>0</v>
      </c>
      <c r="BJ62" s="91">
        <f>IF(R62="-","-",VLOOKUP($E62,CTPit!$E$10:$AW$175,BJ$9,FALSE)-R62)</f>
        <v>0</v>
      </c>
      <c r="BK62" s="91">
        <f>IF(S62="-","-",VLOOKUP($E62,CTPit!$E$10:$AW$175,BK$9,FALSE)-S62)</f>
        <v>0</v>
      </c>
      <c r="BL62" s="91">
        <f>IF(T62="-","-",VLOOKUP($E62,CTPit!$E$10:$AW$175,BL$9,FALSE)-T62)</f>
        <v>-1</v>
      </c>
      <c r="BM62" s="91">
        <f>IF(U62="-","-",VLOOKUP($E62,CTPit!$E$10:$AW$175,BM$9,FALSE)-U62)</f>
        <v>0</v>
      </c>
      <c r="BN62" s="91">
        <f>IF(V62="-","-",VLOOKUP($E62,CTPit!$E$10:$AW$175,BN$9,FALSE)-V62)</f>
        <v>0</v>
      </c>
      <c r="BO62" s="91">
        <f>IF(W62="-","-",VLOOKUP($E62,CTPit!$E$10:$AW$175,BO$9,FALSE)-W62)</f>
        <v>0</v>
      </c>
      <c r="BP62" s="91">
        <f>IF(X62="-","-",VLOOKUP($E62,CTPit!$E$10:$AW$175,BP$9,FALSE)-X62)</f>
        <v>0</v>
      </c>
      <c r="BQ62" s="91">
        <f>IF(Y62="-","-",VLOOKUP($E62,CTPit!$E$10:$AW$175,BQ$9,FALSE)-Y62)</f>
        <v>0</v>
      </c>
      <c r="BR62" s="91">
        <f>IF(Z62="-","-",VLOOKUP($E62,CTPit!$E$10:$AW$175,BR$9,FALSE)-Z62)</f>
        <v>0</v>
      </c>
      <c r="BS62" s="91" t="str">
        <f>IF(AA62="-","-",VLOOKUP($E62,CTPit!$E$10:$AW$175,BS$9,FALSE)-AA62)</f>
        <v>-</v>
      </c>
      <c r="BT62" s="91" t="str">
        <f>IF(AB62="-","-",VLOOKUP($E62,CTPit!$E$10:$AW$175,BT$9,FALSE)-AB62)</f>
        <v>-</v>
      </c>
      <c r="BU62" s="91" t="str">
        <f>IF(AC62="-","-",VLOOKUP($E62,CTPit!$E$10:$AW$175,BU$9,FALSE)-AC62)</f>
        <v>-</v>
      </c>
      <c r="BV62" s="91" t="str">
        <f>IF(AD62="-","-",VLOOKUP($E62,CTPit!$E$10:$AW$175,BV$9,FALSE)-AD62)</f>
        <v>-</v>
      </c>
      <c r="BW62" s="91" t="str">
        <f>IF(AE62="-","-",VLOOKUP($E62,CTPit!$E$10:$AW$175,BW$9,FALSE)-AE62)</f>
        <v>-</v>
      </c>
      <c r="BX62" s="91" t="str">
        <f>IF(AF62="-","-",VLOOKUP($E62,CTPit!$E$10:$AW$175,BX$9,FALSE)-AF62)</f>
        <v>-</v>
      </c>
      <c r="BY62" s="91" t="str">
        <f>IF(AG62="-","-",VLOOKUP($E62,CTPit!$E$10:$AW$175,BY$9,FALSE)-AG62)</f>
        <v>-</v>
      </c>
      <c r="BZ62" s="91" t="str">
        <f>IF(AH62="-","-",VLOOKUP($E62,CTPit!$E$10:$AW$175,BZ$9,FALSE)-AH62)</f>
        <v>-</v>
      </c>
      <c r="CA62" s="91" t="str">
        <f>IF(AI62="-","-",VLOOKUP($E62,CTPit!$E$10:$AW$175,CA$9,FALSE)-AI62)</f>
        <v>-</v>
      </c>
      <c r="CB62" s="91" t="str">
        <f>IF(AJ62="-","-",VLOOKUP($E62,CTPit!$E$10:$AW$175,CB$9,FALSE)-AJ62)</f>
        <v>-</v>
      </c>
      <c r="CC62" s="91" t="str">
        <f>IF(AK62="-","-",VLOOKUP($E62,CTPit!$E$10:$AW$175,CC$9,FALSE)-AK62)</f>
        <v>-</v>
      </c>
      <c r="CD62" s="91" t="str">
        <f>IF(AL62="-","-",VLOOKUP($E62,CTPit!$E$10:$AW$175,CD$9,FALSE)-AL62)</f>
        <v>-</v>
      </c>
      <c r="CE62" s="91" t="str">
        <f>IF(AM62="-","-",VLOOKUP($E62,CTPit!$E$10:$AW$175,CE$9,FALSE)-AM62)</f>
        <v>-</v>
      </c>
      <c r="CF62" s="91" t="str">
        <f>IF(AN62="-","-",VLOOKUP($E62,CTPit!$E$10:$AW$175,CF$9,FALSE)-AN62)</f>
        <v>-</v>
      </c>
      <c r="CG62" s="91" t="str">
        <f>IF(AO62="-","-",VLOOKUP($E62,CTPit!$E$10:$AW$175,CG$9,FALSE)-AO62)</f>
        <v>-</v>
      </c>
      <c r="CH62" s="91" t="str">
        <f>IF(AP62="-","-",VLOOKUP($E62,CTPit!$E$10:$AW$175,CH$9,FALSE)-AP62)</f>
        <v>-</v>
      </c>
      <c r="CI62" s="91" t="str">
        <f>IF(AQ62="-","-",VLOOKUP($E62,CTPit!$E$10:$AW$175,CI$9,FALSE)-AQ62)</f>
        <v>-</v>
      </c>
      <c r="CJ62" s="91" t="str">
        <f>IF(AR62="-","-",VLOOKUP($E62,CTPit!$E$10:$AW$175,CJ$9,FALSE)-AR62)</f>
        <v>-</v>
      </c>
      <c r="CK62">
        <f t="shared" si="26"/>
        <v>-1</v>
      </c>
    </row>
    <row r="63" spans="3:89">
      <c r="C63" t="str">
        <f t="shared" si="16"/>
        <v>K</v>
      </c>
      <c r="D63" t="s">
        <v>107</v>
      </c>
      <c r="E63" t="s">
        <v>338</v>
      </c>
      <c r="F63" t="s">
        <v>373</v>
      </c>
      <c r="G63" t="s">
        <v>210</v>
      </c>
      <c r="H63">
        <v>22</v>
      </c>
      <c r="I63" t="s">
        <v>104</v>
      </c>
      <c r="J63" s="222" t="s">
        <v>103</v>
      </c>
      <c r="K63" t="s">
        <v>47</v>
      </c>
      <c r="L63" t="s">
        <v>42</v>
      </c>
      <c r="M63" t="s">
        <v>224</v>
      </c>
      <c r="N63" s="222" t="s">
        <v>224</v>
      </c>
      <c r="O63">
        <v>4</v>
      </c>
      <c r="P63">
        <v>5</v>
      </c>
      <c r="Q63" s="222">
        <v>4</v>
      </c>
      <c r="R63">
        <v>4</v>
      </c>
      <c r="S63">
        <v>5</v>
      </c>
      <c r="T63" s="222">
        <v>7</v>
      </c>
      <c r="U63">
        <v>5</v>
      </c>
      <c r="V63">
        <v>5</v>
      </c>
      <c r="W63">
        <v>4</v>
      </c>
      <c r="X63">
        <v>4</v>
      </c>
      <c r="Y63">
        <v>4</v>
      </c>
      <c r="Z63">
        <v>5</v>
      </c>
      <c r="AA63" t="s">
        <v>41</v>
      </c>
      <c r="AB63" t="s">
        <v>41</v>
      </c>
      <c r="AC63" t="s">
        <v>41</v>
      </c>
      <c r="AD63" t="s">
        <v>41</v>
      </c>
      <c r="AE63" t="s">
        <v>41</v>
      </c>
      <c r="AF63" t="s">
        <v>41</v>
      </c>
      <c r="AG63" t="s">
        <v>41</v>
      </c>
      <c r="AH63" t="s">
        <v>41</v>
      </c>
      <c r="AI63" t="s">
        <v>41</v>
      </c>
      <c r="AJ63" t="s">
        <v>41</v>
      </c>
      <c r="AK63" t="s">
        <v>41</v>
      </c>
      <c r="AL63" t="s">
        <v>41</v>
      </c>
      <c r="AM63" t="s">
        <v>41</v>
      </c>
      <c r="AN63" t="s">
        <v>41</v>
      </c>
      <c r="AO63" t="s">
        <v>41</v>
      </c>
      <c r="AP63" t="s">
        <v>41</v>
      </c>
      <c r="AQ63" t="s">
        <v>41</v>
      </c>
      <c r="AR63" s="222" t="s">
        <v>41</v>
      </c>
      <c r="AS63" t="s">
        <v>6</v>
      </c>
      <c r="AT63">
        <v>4</v>
      </c>
      <c r="AU63" s="11">
        <v>0.53</v>
      </c>
      <c r="AV63" s="85" t="s">
        <v>41</v>
      </c>
      <c r="AW63" s="222">
        <v>0</v>
      </c>
      <c r="AX63" s="6">
        <f t="shared" si="17"/>
        <v>4.333333333333333</v>
      </c>
      <c r="AY63" s="9" t="str">
        <f t="shared" si="18"/>
        <v>Bench</v>
      </c>
      <c r="AZ63" s="9">
        <f t="shared" si="19"/>
        <v>5.333333333333333</v>
      </c>
      <c r="BA63" s="9" t="str">
        <f t="shared" si="20"/>
        <v>Reg</v>
      </c>
      <c r="BB63" s="9">
        <f t="shared" si="21"/>
        <v>5.333333333333333</v>
      </c>
      <c r="BC63" s="9" t="str">
        <f t="shared" si="22"/>
        <v>Reg</v>
      </c>
      <c r="BD63" s="84">
        <f t="shared" si="23"/>
        <v>3</v>
      </c>
      <c r="BE63" s="83">
        <f t="shared" si="24"/>
        <v>0</v>
      </c>
      <c r="BF63" t="str">
        <f t="shared" si="25"/>
        <v/>
      </c>
      <c r="BG63" s="91">
        <f>IF(O63="-","-",VLOOKUP($E63,CTPit!$E$10:$AW$175,BG$9,FALSE)-O63)</f>
        <v>1</v>
      </c>
      <c r="BH63" s="91">
        <f>IF(P63="-","-",VLOOKUP($E63,CTPit!$E$10:$AW$175,BH$9,FALSE)-P63)</f>
        <v>0</v>
      </c>
      <c r="BI63" s="91">
        <f>IF(Q63="-","-",VLOOKUP($E63,CTPit!$E$10:$AW$175,BI$9,FALSE)-Q63)</f>
        <v>0</v>
      </c>
      <c r="BJ63" s="91">
        <f>IF(R63="-","-",VLOOKUP($E63,CTPit!$E$10:$AW$175,BJ$9,FALSE)-R63)</f>
        <v>1</v>
      </c>
      <c r="BK63" s="91">
        <f>IF(S63="-","-",VLOOKUP($E63,CTPit!$E$10:$AW$175,BK$9,FALSE)-S63)</f>
        <v>0</v>
      </c>
      <c r="BL63" s="91">
        <f>IF(T63="-","-",VLOOKUP($E63,CTPit!$E$10:$AW$175,BL$9,FALSE)-T63)</f>
        <v>-1</v>
      </c>
      <c r="BM63" s="91">
        <f>IF(U63="-","-",VLOOKUP($E63,CTPit!$E$10:$AW$175,BM$9,FALSE)-U63)</f>
        <v>0</v>
      </c>
      <c r="BN63" s="91">
        <f>IF(V63="-","-",VLOOKUP($E63,CTPit!$E$10:$AW$175,BN$9,FALSE)-V63)</f>
        <v>0</v>
      </c>
      <c r="BO63" s="91">
        <f>IF(W63="-","-",VLOOKUP($E63,CTPit!$E$10:$AW$175,BO$9,FALSE)-W63)</f>
        <v>0</v>
      </c>
      <c r="BP63" s="91">
        <f>IF(X63="-","-",VLOOKUP($E63,CTPit!$E$10:$AW$175,BP$9,FALSE)-X63)</f>
        <v>0</v>
      </c>
      <c r="BQ63" s="91">
        <f>IF(Y63="-","-",VLOOKUP($E63,CTPit!$E$10:$AW$175,BQ$9,FALSE)-Y63)</f>
        <v>0</v>
      </c>
      <c r="BR63" s="91">
        <f>IF(Z63="-","-",VLOOKUP($E63,CTPit!$E$10:$AW$175,BR$9,FALSE)-Z63)</f>
        <v>-1</v>
      </c>
      <c r="BS63" s="91" t="str">
        <f>IF(AA63="-","-",VLOOKUP($E63,CTPit!$E$10:$AW$175,BS$9,FALSE)-AA63)</f>
        <v>-</v>
      </c>
      <c r="BT63" s="91" t="str">
        <f>IF(AB63="-","-",VLOOKUP($E63,CTPit!$E$10:$AW$175,BT$9,FALSE)-AB63)</f>
        <v>-</v>
      </c>
      <c r="BU63" s="91" t="str">
        <f>IF(AC63="-","-",VLOOKUP($E63,CTPit!$E$10:$AW$175,BU$9,FALSE)-AC63)</f>
        <v>-</v>
      </c>
      <c r="BV63" s="91" t="str">
        <f>IF(AD63="-","-",VLOOKUP($E63,CTPit!$E$10:$AW$175,BV$9,FALSE)-AD63)</f>
        <v>-</v>
      </c>
      <c r="BW63" s="91" t="str">
        <f>IF(AE63="-","-",VLOOKUP($E63,CTPit!$E$10:$AW$175,BW$9,FALSE)-AE63)</f>
        <v>-</v>
      </c>
      <c r="BX63" s="91" t="str">
        <f>IF(AF63="-","-",VLOOKUP($E63,CTPit!$E$10:$AW$175,BX$9,FALSE)-AF63)</f>
        <v>-</v>
      </c>
      <c r="BY63" s="91" t="str">
        <f>IF(AG63="-","-",VLOOKUP($E63,CTPit!$E$10:$AW$175,BY$9,FALSE)-AG63)</f>
        <v>-</v>
      </c>
      <c r="BZ63" s="91" t="str">
        <f>IF(AH63="-","-",VLOOKUP($E63,CTPit!$E$10:$AW$175,BZ$9,FALSE)-AH63)</f>
        <v>-</v>
      </c>
      <c r="CA63" s="91" t="str">
        <f>IF(AI63="-","-",VLOOKUP($E63,CTPit!$E$10:$AW$175,CA$9,FALSE)-AI63)</f>
        <v>-</v>
      </c>
      <c r="CB63" s="91" t="str">
        <f>IF(AJ63="-","-",VLOOKUP($E63,CTPit!$E$10:$AW$175,CB$9,FALSE)-AJ63)</f>
        <v>-</v>
      </c>
      <c r="CC63" s="91" t="str">
        <f>IF(AK63="-","-",VLOOKUP($E63,CTPit!$E$10:$AW$175,CC$9,FALSE)-AK63)</f>
        <v>-</v>
      </c>
      <c r="CD63" s="91" t="str">
        <f>IF(AL63="-","-",VLOOKUP($E63,CTPit!$E$10:$AW$175,CD$9,FALSE)-AL63)</f>
        <v>-</v>
      </c>
      <c r="CE63" s="91" t="str">
        <f>IF(AM63="-","-",VLOOKUP($E63,CTPit!$E$10:$AW$175,CE$9,FALSE)-AM63)</f>
        <v>-</v>
      </c>
      <c r="CF63" s="91" t="str">
        <f>IF(AN63="-","-",VLOOKUP($E63,CTPit!$E$10:$AW$175,CF$9,FALSE)-AN63)</f>
        <v>-</v>
      </c>
      <c r="CG63" s="91" t="str">
        <f>IF(AO63="-","-",VLOOKUP($E63,CTPit!$E$10:$AW$175,CG$9,FALSE)-AO63)</f>
        <v>-</v>
      </c>
      <c r="CH63" s="91" t="str">
        <f>IF(AP63="-","-",VLOOKUP($E63,CTPit!$E$10:$AW$175,CH$9,FALSE)-AP63)</f>
        <v>-</v>
      </c>
      <c r="CI63" s="91" t="str">
        <f>IF(AQ63="-","-",VLOOKUP($E63,CTPit!$E$10:$AW$175,CI$9,FALSE)-AQ63)</f>
        <v>-</v>
      </c>
      <c r="CJ63" s="91" t="str">
        <f>IF(AR63="-","-",VLOOKUP($E63,CTPit!$E$10:$AW$175,CJ$9,FALSE)-AR63)</f>
        <v>-</v>
      </c>
      <c r="CK63">
        <f t="shared" si="26"/>
        <v>0</v>
      </c>
    </row>
    <row r="64" spans="3:89">
      <c r="C64" t="str">
        <f t="shared" si="16"/>
        <v>K</v>
      </c>
      <c r="D64" t="s">
        <v>108</v>
      </c>
      <c r="E64" t="s">
        <v>395</v>
      </c>
      <c r="F64" t="s">
        <v>373</v>
      </c>
      <c r="G64" t="s">
        <v>210</v>
      </c>
      <c r="H64">
        <v>20</v>
      </c>
      <c r="I64" t="s">
        <v>104</v>
      </c>
      <c r="J64" s="222" t="s">
        <v>104</v>
      </c>
      <c r="K64" t="s">
        <v>47</v>
      </c>
      <c r="L64" t="s">
        <v>42</v>
      </c>
      <c r="M64" t="s">
        <v>223</v>
      </c>
      <c r="N64" s="222" t="s">
        <v>224</v>
      </c>
      <c r="O64">
        <v>5</v>
      </c>
      <c r="P64">
        <v>4</v>
      </c>
      <c r="Q64" s="222">
        <v>3</v>
      </c>
      <c r="R64">
        <v>5</v>
      </c>
      <c r="S64">
        <v>5</v>
      </c>
      <c r="T64" s="222">
        <v>6</v>
      </c>
      <c r="U64">
        <v>5</v>
      </c>
      <c r="V64">
        <v>5</v>
      </c>
      <c r="W64">
        <v>5</v>
      </c>
      <c r="X64">
        <v>5</v>
      </c>
      <c r="Y64">
        <v>4</v>
      </c>
      <c r="Z64">
        <v>5</v>
      </c>
      <c r="AA64">
        <v>5</v>
      </c>
      <c r="AB64">
        <v>5</v>
      </c>
      <c r="AC64" t="s">
        <v>41</v>
      </c>
      <c r="AD64" t="s">
        <v>41</v>
      </c>
      <c r="AE64" t="s">
        <v>41</v>
      </c>
      <c r="AF64" t="s">
        <v>41</v>
      </c>
      <c r="AG64" t="s">
        <v>41</v>
      </c>
      <c r="AH64" t="s">
        <v>41</v>
      </c>
      <c r="AI64" t="s">
        <v>41</v>
      </c>
      <c r="AJ64" t="s">
        <v>41</v>
      </c>
      <c r="AK64" t="s">
        <v>41</v>
      </c>
      <c r="AL64" t="s">
        <v>41</v>
      </c>
      <c r="AM64" t="s">
        <v>41</v>
      </c>
      <c r="AN64" t="s">
        <v>41</v>
      </c>
      <c r="AO64" t="s">
        <v>41</v>
      </c>
      <c r="AP64" t="s">
        <v>41</v>
      </c>
      <c r="AQ64" t="s">
        <v>41</v>
      </c>
      <c r="AR64" s="222" t="s">
        <v>41</v>
      </c>
      <c r="AS64" t="s">
        <v>2</v>
      </c>
      <c r="AT64">
        <v>9</v>
      </c>
      <c r="AU64" s="11">
        <v>0.46</v>
      </c>
      <c r="AV64" s="85" t="s">
        <v>41</v>
      </c>
      <c r="AW64" s="222">
        <v>0</v>
      </c>
      <c r="AX64" s="6">
        <f t="shared" si="17"/>
        <v>4.25</v>
      </c>
      <c r="AY64" s="9" t="str">
        <f t="shared" si="18"/>
        <v>Bench</v>
      </c>
      <c r="AZ64" s="9">
        <f t="shared" si="19"/>
        <v>5.583333333333333</v>
      </c>
      <c r="BA64" s="9" t="str">
        <f t="shared" si="20"/>
        <v>Reg</v>
      </c>
      <c r="BB64" s="9">
        <f t="shared" si="21"/>
        <v>5.583333333333333</v>
      </c>
      <c r="BC64" s="9" t="str">
        <f t="shared" si="22"/>
        <v>Reg</v>
      </c>
      <c r="BD64" s="84">
        <f t="shared" si="23"/>
        <v>4</v>
      </c>
      <c r="BE64" s="83">
        <f t="shared" si="24"/>
        <v>0</v>
      </c>
      <c r="BF64" t="str">
        <f t="shared" si="25"/>
        <v/>
      </c>
      <c r="BG64" s="91">
        <f>IF(O64="-","-",VLOOKUP($E64,CTPit!$E$10:$AW$175,BG$9,FALSE)-O64)</f>
        <v>0</v>
      </c>
      <c r="BH64" s="91">
        <f>IF(P64="-","-",VLOOKUP($E64,CTPit!$E$10:$AW$175,BH$9,FALSE)-P64)</f>
        <v>0</v>
      </c>
      <c r="BI64" s="91">
        <f>IF(Q64="-","-",VLOOKUP($E64,CTPit!$E$10:$AW$175,BI$9,FALSE)-Q64)</f>
        <v>1</v>
      </c>
      <c r="BJ64" s="91">
        <f>IF(R64="-","-",VLOOKUP($E64,CTPit!$E$10:$AW$175,BJ$9,FALSE)-R64)</f>
        <v>0</v>
      </c>
      <c r="BK64" s="91">
        <f>IF(S64="-","-",VLOOKUP($E64,CTPit!$E$10:$AW$175,BK$9,FALSE)-S64)</f>
        <v>0</v>
      </c>
      <c r="BL64" s="91">
        <f>IF(T64="-","-",VLOOKUP($E64,CTPit!$E$10:$AW$175,BL$9,FALSE)-T64)</f>
        <v>0</v>
      </c>
      <c r="BM64" s="91">
        <f>IF(U64="-","-",VLOOKUP($E64,CTPit!$E$10:$AW$175,BM$9,FALSE)-U64)</f>
        <v>0</v>
      </c>
      <c r="BN64" s="91">
        <f>IF(V64="-","-",VLOOKUP($E64,CTPit!$E$10:$AW$175,BN$9,FALSE)-V64)</f>
        <v>0</v>
      </c>
      <c r="BO64" s="91">
        <f>IF(W64="-","-",VLOOKUP($E64,CTPit!$E$10:$AW$175,BO$9,FALSE)-W64)</f>
        <v>0</v>
      </c>
      <c r="BP64" s="91">
        <f>IF(X64="-","-",VLOOKUP($E64,CTPit!$E$10:$AW$175,BP$9,FALSE)-X64)</f>
        <v>0</v>
      </c>
      <c r="BQ64" s="91">
        <f>IF(Y64="-","-",VLOOKUP($E64,CTPit!$E$10:$AW$175,BQ$9,FALSE)-Y64)</f>
        <v>0</v>
      </c>
      <c r="BR64" s="91">
        <f>IF(Z64="-","-",VLOOKUP($E64,CTPit!$E$10:$AW$175,BR$9,FALSE)-Z64)</f>
        <v>0</v>
      </c>
      <c r="BS64" s="91">
        <f>IF(AA64="-","-",VLOOKUP($E64,CTPit!$E$10:$AW$175,BS$9,FALSE)-AA64)</f>
        <v>0</v>
      </c>
      <c r="BT64" s="91">
        <f>IF(AB64="-","-",VLOOKUP($E64,CTPit!$E$10:$AW$175,BT$9,FALSE)-AB64)</f>
        <v>0</v>
      </c>
      <c r="BU64" s="91" t="str">
        <f>IF(AC64="-","-",VLOOKUP($E64,CTPit!$E$10:$AW$175,BU$9,FALSE)-AC64)</f>
        <v>-</v>
      </c>
      <c r="BV64" s="91" t="str">
        <f>IF(AD64="-","-",VLOOKUP($E64,CTPit!$E$10:$AW$175,BV$9,FALSE)-AD64)</f>
        <v>-</v>
      </c>
      <c r="BW64" s="91" t="str">
        <f>IF(AE64="-","-",VLOOKUP($E64,CTPit!$E$10:$AW$175,BW$9,FALSE)-AE64)</f>
        <v>-</v>
      </c>
      <c r="BX64" s="91" t="str">
        <f>IF(AF64="-","-",VLOOKUP($E64,CTPit!$E$10:$AW$175,BX$9,FALSE)-AF64)</f>
        <v>-</v>
      </c>
      <c r="BY64" s="91" t="str">
        <f>IF(AG64="-","-",VLOOKUP($E64,CTPit!$E$10:$AW$175,BY$9,FALSE)-AG64)</f>
        <v>-</v>
      </c>
      <c r="BZ64" s="91" t="str">
        <f>IF(AH64="-","-",VLOOKUP($E64,CTPit!$E$10:$AW$175,BZ$9,FALSE)-AH64)</f>
        <v>-</v>
      </c>
      <c r="CA64" s="91" t="str">
        <f>IF(AI64="-","-",VLOOKUP($E64,CTPit!$E$10:$AW$175,CA$9,FALSE)-AI64)</f>
        <v>-</v>
      </c>
      <c r="CB64" s="91" t="str">
        <f>IF(AJ64="-","-",VLOOKUP($E64,CTPit!$E$10:$AW$175,CB$9,FALSE)-AJ64)</f>
        <v>-</v>
      </c>
      <c r="CC64" s="91" t="str">
        <f>IF(AK64="-","-",VLOOKUP($E64,CTPit!$E$10:$AW$175,CC$9,FALSE)-AK64)</f>
        <v>-</v>
      </c>
      <c r="CD64" s="91" t="str">
        <f>IF(AL64="-","-",VLOOKUP($E64,CTPit!$E$10:$AW$175,CD$9,FALSE)-AL64)</f>
        <v>-</v>
      </c>
      <c r="CE64" s="91" t="str">
        <f>IF(AM64="-","-",VLOOKUP($E64,CTPit!$E$10:$AW$175,CE$9,FALSE)-AM64)</f>
        <v>-</v>
      </c>
      <c r="CF64" s="91" t="str">
        <f>IF(AN64="-","-",VLOOKUP($E64,CTPit!$E$10:$AW$175,CF$9,FALSE)-AN64)</f>
        <v>-</v>
      </c>
      <c r="CG64" s="91" t="str">
        <f>IF(AO64="-","-",VLOOKUP($E64,CTPit!$E$10:$AW$175,CG$9,FALSE)-AO64)</f>
        <v>-</v>
      </c>
      <c r="CH64" s="91" t="str">
        <f>IF(AP64="-","-",VLOOKUP($E64,CTPit!$E$10:$AW$175,CH$9,FALSE)-AP64)</f>
        <v>-</v>
      </c>
      <c r="CI64" s="91" t="str">
        <f>IF(AQ64="-","-",VLOOKUP($E64,CTPit!$E$10:$AW$175,CI$9,FALSE)-AQ64)</f>
        <v>-</v>
      </c>
      <c r="CJ64" s="91" t="str">
        <f>IF(AR64="-","-",VLOOKUP($E64,CTPit!$E$10:$AW$175,CJ$9,FALSE)-AR64)</f>
        <v>-</v>
      </c>
      <c r="CK64">
        <f t="shared" si="26"/>
        <v>1</v>
      </c>
    </row>
    <row r="65" spans="3:89">
      <c r="C65" t="str">
        <f t="shared" si="16"/>
        <v>K</v>
      </c>
      <c r="D65" t="s">
        <v>107</v>
      </c>
      <c r="E65" t="s">
        <v>403</v>
      </c>
      <c r="F65" t="s">
        <v>372</v>
      </c>
      <c r="G65" t="s">
        <v>209</v>
      </c>
      <c r="H65">
        <v>24</v>
      </c>
      <c r="I65" t="s">
        <v>104</v>
      </c>
      <c r="J65" s="222" t="s">
        <v>104</v>
      </c>
      <c r="K65" t="s">
        <v>47</v>
      </c>
      <c r="L65" t="s">
        <v>42</v>
      </c>
      <c r="M65" t="s">
        <v>226</v>
      </c>
      <c r="N65" s="222" t="s">
        <v>223</v>
      </c>
      <c r="O65">
        <v>5</v>
      </c>
      <c r="P65">
        <v>4</v>
      </c>
      <c r="Q65" s="222">
        <v>3</v>
      </c>
      <c r="R65">
        <v>6</v>
      </c>
      <c r="S65">
        <v>4</v>
      </c>
      <c r="T65" s="222">
        <v>4</v>
      </c>
      <c r="U65">
        <v>7</v>
      </c>
      <c r="V65">
        <v>7</v>
      </c>
      <c r="W65" t="s">
        <v>41</v>
      </c>
      <c r="X65" t="s">
        <v>41</v>
      </c>
      <c r="Y65">
        <v>3</v>
      </c>
      <c r="Z65">
        <v>3</v>
      </c>
      <c r="AA65" t="s">
        <v>41</v>
      </c>
      <c r="AB65" t="s">
        <v>41</v>
      </c>
      <c r="AC65" t="s">
        <v>41</v>
      </c>
      <c r="AD65" t="s">
        <v>41</v>
      </c>
      <c r="AE65" t="s">
        <v>41</v>
      </c>
      <c r="AF65" t="s">
        <v>41</v>
      </c>
      <c r="AG65" t="s">
        <v>41</v>
      </c>
      <c r="AH65" t="s">
        <v>41</v>
      </c>
      <c r="AI65" t="s">
        <v>41</v>
      </c>
      <c r="AJ65" t="s">
        <v>41</v>
      </c>
      <c r="AK65">
        <v>5</v>
      </c>
      <c r="AL65">
        <v>6</v>
      </c>
      <c r="AM65" t="s">
        <v>41</v>
      </c>
      <c r="AN65" t="s">
        <v>41</v>
      </c>
      <c r="AO65" t="s">
        <v>41</v>
      </c>
      <c r="AP65" t="s">
        <v>41</v>
      </c>
      <c r="AQ65" t="s">
        <v>41</v>
      </c>
      <c r="AR65" s="222" t="s">
        <v>41</v>
      </c>
      <c r="AS65" t="s">
        <v>15</v>
      </c>
      <c r="AT65">
        <v>5</v>
      </c>
      <c r="AU65" s="11">
        <v>0.46</v>
      </c>
      <c r="AV65" s="85" t="s">
        <v>41</v>
      </c>
      <c r="AW65" s="222">
        <v>0</v>
      </c>
      <c r="AX65" s="6">
        <f t="shared" si="17"/>
        <v>4.25</v>
      </c>
      <c r="AY65" s="9" t="str">
        <f t="shared" si="18"/>
        <v>Bench</v>
      </c>
      <c r="AZ65" s="9">
        <f t="shared" si="19"/>
        <v>4.916666666666667</v>
      </c>
      <c r="BA65" s="9" t="str">
        <f t="shared" si="20"/>
        <v>Bench</v>
      </c>
      <c r="BB65" s="9">
        <f t="shared" si="21"/>
        <v>4.916666666666667</v>
      </c>
      <c r="BC65" s="9" t="str">
        <f t="shared" si="22"/>
        <v>Bench</v>
      </c>
      <c r="BD65" s="84">
        <f t="shared" si="23"/>
        <v>3</v>
      </c>
      <c r="BE65" s="83">
        <f t="shared" si="24"/>
        <v>1.5</v>
      </c>
      <c r="BF65" t="str">
        <f t="shared" si="25"/>
        <v/>
      </c>
      <c r="BG65" s="91">
        <f>IF(O65="-","-",VLOOKUP($E65,CTPit!$E$10:$AW$175,BG$9,FALSE)-O65)</f>
        <v>1</v>
      </c>
      <c r="BH65" s="91">
        <f>IF(P65="-","-",VLOOKUP($E65,CTPit!$E$10:$AW$175,BH$9,FALSE)-P65)</f>
        <v>0</v>
      </c>
      <c r="BI65" s="91">
        <f>IF(Q65="-","-",VLOOKUP($E65,CTPit!$E$10:$AW$175,BI$9,FALSE)-Q65)</f>
        <v>1</v>
      </c>
      <c r="BJ65" s="91">
        <f>IF(R65="-","-",VLOOKUP($E65,CTPit!$E$10:$AW$175,BJ$9,FALSE)-R65)</f>
        <v>0</v>
      </c>
      <c r="BK65" s="91">
        <f>IF(S65="-","-",VLOOKUP($E65,CTPit!$E$10:$AW$175,BK$9,FALSE)-S65)</f>
        <v>0</v>
      </c>
      <c r="BL65" s="91">
        <f>IF(T65="-","-",VLOOKUP($E65,CTPit!$E$10:$AW$175,BL$9,FALSE)-T65)</f>
        <v>0</v>
      </c>
      <c r="BM65" s="91">
        <f>IF(U65="-","-",VLOOKUP($E65,CTPit!$E$10:$AW$175,BM$9,FALSE)-U65)</f>
        <v>0</v>
      </c>
      <c r="BN65" s="91">
        <f>IF(V65="-","-",VLOOKUP($E65,CTPit!$E$10:$AW$175,BN$9,FALSE)-V65)</f>
        <v>0</v>
      </c>
      <c r="BO65" s="91" t="str">
        <f>IF(W65="-","-",VLOOKUP($E65,CTPit!$E$10:$AW$175,BO$9,FALSE)-W65)</f>
        <v>-</v>
      </c>
      <c r="BP65" s="91" t="str">
        <f>IF(X65="-","-",VLOOKUP($E65,CTPit!$E$10:$AW$175,BP$9,FALSE)-X65)</f>
        <v>-</v>
      </c>
      <c r="BQ65" s="91">
        <f>IF(Y65="-","-",VLOOKUP($E65,CTPit!$E$10:$AW$175,BQ$9,FALSE)-Y65)</f>
        <v>0</v>
      </c>
      <c r="BR65" s="91">
        <f>IF(Z65="-","-",VLOOKUP($E65,CTPit!$E$10:$AW$175,BR$9,FALSE)-Z65)</f>
        <v>0</v>
      </c>
      <c r="BS65" s="91" t="str">
        <f>IF(AA65="-","-",VLOOKUP($E65,CTPit!$E$10:$AW$175,BS$9,FALSE)-AA65)</f>
        <v>-</v>
      </c>
      <c r="BT65" s="91" t="str">
        <f>IF(AB65="-","-",VLOOKUP($E65,CTPit!$E$10:$AW$175,BT$9,FALSE)-AB65)</f>
        <v>-</v>
      </c>
      <c r="BU65" s="91" t="str">
        <f>IF(AC65="-","-",VLOOKUP($E65,CTPit!$E$10:$AW$175,BU$9,FALSE)-AC65)</f>
        <v>-</v>
      </c>
      <c r="BV65" s="91" t="str">
        <f>IF(AD65="-","-",VLOOKUP($E65,CTPit!$E$10:$AW$175,BV$9,FALSE)-AD65)</f>
        <v>-</v>
      </c>
      <c r="BW65" s="91" t="str">
        <f>IF(AE65="-","-",VLOOKUP($E65,CTPit!$E$10:$AW$175,BW$9,FALSE)-AE65)</f>
        <v>-</v>
      </c>
      <c r="BX65" s="91" t="str">
        <f>IF(AF65="-","-",VLOOKUP($E65,CTPit!$E$10:$AW$175,BX$9,FALSE)-AF65)</f>
        <v>-</v>
      </c>
      <c r="BY65" s="91" t="str">
        <f>IF(AG65="-","-",VLOOKUP($E65,CTPit!$E$10:$AW$175,BY$9,FALSE)-AG65)</f>
        <v>-</v>
      </c>
      <c r="BZ65" s="91" t="str">
        <f>IF(AH65="-","-",VLOOKUP($E65,CTPit!$E$10:$AW$175,BZ$9,FALSE)-AH65)</f>
        <v>-</v>
      </c>
      <c r="CA65" s="91" t="str">
        <f>IF(AI65="-","-",VLOOKUP($E65,CTPit!$E$10:$AW$175,CA$9,FALSE)-AI65)</f>
        <v>-</v>
      </c>
      <c r="CB65" s="91" t="str">
        <f>IF(AJ65="-","-",VLOOKUP($E65,CTPit!$E$10:$AW$175,CB$9,FALSE)-AJ65)</f>
        <v>-</v>
      </c>
      <c r="CC65" s="91">
        <f>IF(AK65="-","-",VLOOKUP($E65,CTPit!$E$10:$AW$175,CC$9,FALSE)-AK65)</f>
        <v>1</v>
      </c>
      <c r="CD65" s="91">
        <f>IF(AL65="-","-",VLOOKUP($E65,CTPit!$E$10:$AW$175,CD$9,FALSE)-AL65)</f>
        <v>1</v>
      </c>
      <c r="CE65" s="91" t="str">
        <f>IF(AM65="-","-",VLOOKUP($E65,CTPit!$E$10:$AW$175,CE$9,FALSE)-AM65)</f>
        <v>-</v>
      </c>
      <c r="CF65" s="91" t="str">
        <f>IF(AN65="-","-",VLOOKUP($E65,CTPit!$E$10:$AW$175,CF$9,FALSE)-AN65)</f>
        <v>-</v>
      </c>
      <c r="CG65" s="91" t="str">
        <f>IF(AO65="-","-",VLOOKUP($E65,CTPit!$E$10:$AW$175,CG$9,FALSE)-AO65)</f>
        <v>-</v>
      </c>
      <c r="CH65" s="91" t="str">
        <f>IF(AP65="-","-",VLOOKUP($E65,CTPit!$E$10:$AW$175,CH$9,FALSE)-AP65)</f>
        <v>-</v>
      </c>
      <c r="CI65" s="91" t="str">
        <f>IF(AQ65="-","-",VLOOKUP($E65,CTPit!$E$10:$AW$175,CI$9,FALSE)-AQ65)</f>
        <v>-</v>
      </c>
      <c r="CJ65" s="91" t="str">
        <f>IF(AR65="-","-",VLOOKUP($E65,CTPit!$E$10:$AW$175,CJ$9,FALSE)-AR65)</f>
        <v>-</v>
      </c>
      <c r="CK65">
        <f t="shared" si="26"/>
        <v>4</v>
      </c>
    </row>
    <row r="66" spans="3:89">
      <c r="C66" t="str">
        <f t="shared" si="16"/>
        <v>K</v>
      </c>
      <c r="D66" t="s">
        <v>107</v>
      </c>
      <c r="E66" t="s">
        <v>405</v>
      </c>
      <c r="F66" t="s">
        <v>373</v>
      </c>
      <c r="G66" t="s">
        <v>210</v>
      </c>
      <c r="H66">
        <v>24</v>
      </c>
      <c r="I66" t="s">
        <v>106</v>
      </c>
      <c r="J66" s="222" t="s">
        <v>104</v>
      </c>
      <c r="K66" t="s">
        <v>47</v>
      </c>
      <c r="L66" t="s">
        <v>47</v>
      </c>
      <c r="M66" t="s">
        <v>225</v>
      </c>
      <c r="N66" s="222" t="s">
        <v>224</v>
      </c>
      <c r="O66">
        <v>5</v>
      </c>
      <c r="P66">
        <v>4</v>
      </c>
      <c r="Q66" s="222">
        <v>3</v>
      </c>
      <c r="R66">
        <v>5</v>
      </c>
      <c r="S66">
        <v>4</v>
      </c>
      <c r="T66" s="222">
        <v>4</v>
      </c>
      <c r="U66">
        <v>6</v>
      </c>
      <c r="V66">
        <v>6</v>
      </c>
      <c r="W66" t="s">
        <v>41</v>
      </c>
      <c r="X66" t="s">
        <v>41</v>
      </c>
      <c r="Y66">
        <v>4</v>
      </c>
      <c r="Z66">
        <v>5</v>
      </c>
      <c r="AA66" t="s">
        <v>41</v>
      </c>
      <c r="AB66" t="s">
        <v>41</v>
      </c>
      <c r="AC66" t="s">
        <v>41</v>
      </c>
      <c r="AD66" t="s">
        <v>41</v>
      </c>
      <c r="AE66" t="s">
        <v>41</v>
      </c>
      <c r="AF66" t="s">
        <v>41</v>
      </c>
      <c r="AG66" t="s">
        <v>41</v>
      </c>
      <c r="AH66" t="s">
        <v>41</v>
      </c>
      <c r="AI66" t="s">
        <v>41</v>
      </c>
      <c r="AJ66" t="s">
        <v>41</v>
      </c>
      <c r="AK66" t="s">
        <v>41</v>
      </c>
      <c r="AL66" t="s">
        <v>41</v>
      </c>
      <c r="AM66" t="s">
        <v>41</v>
      </c>
      <c r="AN66" t="s">
        <v>41</v>
      </c>
      <c r="AO66" t="s">
        <v>41</v>
      </c>
      <c r="AP66" t="s">
        <v>41</v>
      </c>
      <c r="AQ66" t="s">
        <v>41</v>
      </c>
      <c r="AR66" s="222" t="s">
        <v>41</v>
      </c>
      <c r="AS66" t="s">
        <v>11</v>
      </c>
      <c r="AT66">
        <v>3</v>
      </c>
      <c r="AU66" s="11">
        <v>0.37</v>
      </c>
      <c r="AV66" s="85" t="s">
        <v>41</v>
      </c>
      <c r="AW66" s="222">
        <v>0</v>
      </c>
      <c r="AX66" s="6">
        <f t="shared" si="17"/>
        <v>4.25</v>
      </c>
      <c r="AY66" s="9" t="str">
        <f t="shared" si="18"/>
        <v>Bench</v>
      </c>
      <c r="AZ66" s="9">
        <f t="shared" si="19"/>
        <v>4.583333333333333</v>
      </c>
      <c r="BA66" s="9" t="str">
        <f t="shared" si="20"/>
        <v>Bench</v>
      </c>
      <c r="BB66" s="9">
        <f t="shared" si="21"/>
        <v>4.583333333333333</v>
      </c>
      <c r="BC66" s="9" t="str">
        <f t="shared" si="22"/>
        <v>Bench</v>
      </c>
      <c r="BD66" s="84">
        <f t="shared" si="23"/>
        <v>2</v>
      </c>
      <c r="BE66" s="83">
        <f t="shared" si="24"/>
        <v>1</v>
      </c>
      <c r="BF66" t="str">
        <f t="shared" si="25"/>
        <v/>
      </c>
      <c r="BG66" s="91">
        <f>IF(O66="-","-",VLOOKUP($E66,CTPit!$E$10:$AW$175,BG$9,FALSE)-O66)</f>
        <v>0</v>
      </c>
      <c r="BH66" s="91">
        <f>IF(P66="-","-",VLOOKUP($E66,CTPit!$E$10:$AW$175,BH$9,FALSE)-P66)</f>
        <v>1</v>
      </c>
      <c r="BI66" s="91">
        <f>IF(Q66="-","-",VLOOKUP($E66,CTPit!$E$10:$AW$175,BI$9,FALSE)-Q66)</f>
        <v>0</v>
      </c>
      <c r="BJ66" s="91">
        <f>IF(R66="-","-",VLOOKUP($E66,CTPit!$E$10:$AW$175,BJ$9,FALSE)-R66)</f>
        <v>0</v>
      </c>
      <c r="BK66" s="91">
        <f>IF(S66="-","-",VLOOKUP($E66,CTPit!$E$10:$AW$175,BK$9,FALSE)-S66)</f>
        <v>1</v>
      </c>
      <c r="BL66" s="91">
        <f>IF(T66="-","-",VLOOKUP($E66,CTPit!$E$10:$AW$175,BL$9,FALSE)-T66)</f>
        <v>0</v>
      </c>
      <c r="BM66" s="91">
        <f>IF(U66="-","-",VLOOKUP($E66,CTPit!$E$10:$AW$175,BM$9,FALSE)-U66)</f>
        <v>0</v>
      </c>
      <c r="BN66" s="91">
        <f>IF(V66="-","-",VLOOKUP($E66,CTPit!$E$10:$AW$175,BN$9,FALSE)-V66)</f>
        <v>0</v>
      </c>
      <c r="BO66" s="91" t="str">
        <f>IF(W66="-","-",VLOOKUP($E66,CTPit!$E$10:$AW$175,BO$9,FALSE)-W66)</f>
        <v>-</v>
      </c>
      <c r="BP66" s="91" t="str">
        <f>IF(X66="-","-",VLOOKUP($E66,CTPit!$E$10:$AW$175,BP$9,FALSE)-X66)</f>
        <v>-</v>
      </c>
      <c r="BQ66" s="91">
        <f>IF(Y66="-","-",VLOOKUP($E66,CTPit!$E$10:$AW$175,BQ$9,FALSE)-Y66)</f>
        <v>0</v>
      </c>
      <c r="BR66" s="91">
        <f>IF(Z66="-","-",VLOOKUP($E66,CTPit!$E$10:$AW$175,BR$9,FALSE)-Z66)</f>
        <v>0</v>
      </c>
      <c r="BS66" s="91" t="str">
        <f>IF(AA66="-","-",VLOOKUP($E66,CTPit!$E$10:$AW$175,BS$9,FALSE)-AA66)</f>
        <v>-</v>
      </c>
      <c r="BT66" s="91" t="str">
        <f>IF(AB66="-","-",VLOOKUP($E66,CTPit!$E$10:$AW$175,BT$9,FALSE)-AB66)</f>
        <v>-</v>
      </c>
      <c r="BU66" s="91" t="str">
        <f>IF(AC66="-","-",VLOOKUP($E66,CTPit!$E$10:$AW$175,BU$9,FALSE)-AC66)</f>
        <v>-</v>
      </c>
      <c r="BV66" s="91" t="str">
        <f>IF(AD66="-","-",VLOOKUP($E66,CTPit!$E$10:$AW$175,BV$9,FALSE)-AD66)</f>
        <v>-</v>
      </c>
      <c r="BW66" s="91" t="str">
        <f>IF(AE66="-","-",VLOOKUP($E66,CTPit!$E$10:$AW$175,BW$9,FALSE)-AE66)</f>
        <v>-</v>
      </c>
      <c r="BX66" s="91" t="str">
        <f>IF(AF66="-","-",VLOOKUP($E66,CTPit!$E$10:$AW$175,BX$9,FALSE)-AF66)</f>
        <v>-</v>
      </c>
      <c r="BY66" s="91" t="str">
        <f>IF(AG66="-","-",VLOOKUP($E66,CTPit!$E$10:$AW$175,BY$9,FALSE)-AG66)</f>
        <v>-</v>
      </c>
      <c r="BZ66" s="91" t="str">
        <f>IF(AH66="-","-",VLOOKUP($E66,CTPit!$E$10:$AW$175,BZ$9,FALSE)-AH66)</f>
        <v>-</v>
      </c>
      <c r="CA66" s="91" t="str">
        <f>IF(AI66="-","-",VLOOKUP($E66,CTPit!$E$10:$AW$175,CA$9,FALSE)-AI66)</f>
        <v>-</v>
      </c>
      <c r="CB66" s="91" t="str">
        <f>IF(AJ66="-","-",VLOOKUP($E66,CTPit!$E$10:$AW$175,CB$9,FALSE)-AJ66)</f>
        <v>-</v>
      </c>
      <c r="CC66" s="91" t="str">
        <f>IF(AK66="-","-",VLOOKUP($E66,CTPit!$E$10:$AW$175,CC$9,FALSE)-AK66)</f>
        <v>-</v>
      </c>
      <c r="CD66" s="91" t="str">
        <f>IF(AL66="-","-",VLOOKUP($E66,CTPit!$E$10:$AW$175,CD$9,FALSE)-AL66)</f>
        <v>-</v>
      </c>
      <c r="CE66" s="91" t="str">
        <f>IF(AM66="-","-",VLOOKUP($E66,CTPit!$E$10:$AW$175,CE$9,FALSE)-AM66)</f>
        <v>-</v>
      </c>
      <c r="CF66" s="91" t="str">
        <f>IF(AN66="-","-",VLOOKUP($E66,CTPit!$E$10:$AW$175,CF$9,FALSE)-AN66)</f>
        <v>-</v>
      </c>
      <c r="CG66" s="91" t="str">
        <f>IF(AO66="-","-",VLOOKUP($E66,CTPit!$E$10:$AW$175,CG$9,FALSE)-AO66)</f>
        <v>-</v>
      </c>
      <c r="CH66" s="91" t="str">
        <f>IF(AP66="-","-",VLOOKUP($E66,CTPit!$E$10:$AW$175,CH$9,FALSE)-AP66)</f>
        <v>-</v>
      </c>
      <c r="CI66" s="91" t="str">
        <f>IF(AQ66="-","-",VLOOKUP($E66,CTPit!$E$10:$AW$175,CI$9,FALSE)-AQ66)</f>
        <v>-</v>
      </c>
      <c r="CJ66" s="91" t="str">
        <f>IF(AR66="-","-",VLOOKUP($E66,CTPit!$E$10:$AW$175,CJ$9,FALSE)-AR66)</f>
        <v>-</v>
      </c>
      <c r="CK66">
        <f t="shared" si="26"/>
        <v>2</v>
      </c>
    </row>
    <row r="67" spans="3:89">
      <c r="C67" t="str">
        <f t="shared" si="16"/>
        <v>K</v>
      </c>
      <c r="D67" t="s">
        <v>107</v>
      </c>
      <c r="E67" t="s">
        <v>480</v>
      </c>
      <c r="F67" t="s">
        <v>370</v>
      </c>
      <c r="G67" t="s">
        <v>316</v>
      </c>
      <c r="H67">
        <v>22</v>
      </c>
      <c r="I67" t="s">
        <v>104</v>
      </c>
      <c r="J67" s="222" t="s">
        <v>104</v>
      </c>
      <c r="K67" t="s">
        <v>47</v>
      </c>
      <c r="L67" t="s">
        <v>47</v>
      </c>
      <c r="M67" t="s">
        <v>227</v>
      </c>
      <c r="N67" s="222" t="s">
        <v>223</v>
      </c>
      <c r="O67">
        <v>5</v>
      </c>
      <c r="P67">
        <v>4</v>
      </c>
      <c r="Q67" s="222">
        <v>2</v>
      </c>
      <c r="R67">
        <v>6</v>
      </c>
      <c r="S67">
        <v>4</v>
      </c>
      <c r="T67" s="222">
        <v>4</v>
      </c>
      <c r="U67">
        <v>6</v>
      </c>
      <c r="V67">
        <v>6</v>
      </c>
      <c r="W67">
        <v>2</v>
      </c>
      <c r="X67">
        <v>3</v>
      </c>
      <c r="Y67">
        <v>5</v>
      </c>
      <c r="Z67">
        <v>6</v>
      </c>
      <c r="AA67">
        <v>3</v>
      </c>
      <c r="AB67">
        <v>3</v>
      </c>
      <c r="AC67" t="s">
        <v>41</v>
      </c>
      <c r="AD67" t="s">
        <v>41</v>
      </c>
      <c r="AE67" t="s">
        <v>41</v>
      </c>
      <c r="AF67" t="s">
        <v>41</v>
      </c>
      <c r="AG67" t="s">
        <v>41</v>
      </c>
      <c r="AH67" t="s">
        <v>41</v>
      </c>
      <c r="AI67" t="s">
        <v>41</v>
      </c>
      <c r="AJ67" t="s">
        <v>41</v>
      </c>
      <c r="AK67" t="s">
        <v>41</v>
      </c>
      <c r="AL67" t="s">
        <v>41</v>
      </c>
      <c r="AM67" t="s">
        <v>41</v>
      </c>
      <c r="AN67" t="s">
        <v>41</v>
      </c>
      <c r="AO67" t="s">
        <v>41</v>
      </c>
      <c r="AP67" t="s">
        <v>41</v>
      </c>
      <c r="AQ67" t="s">
        <v>41</v>
      </c>
      <c r="AR67" s="222" t="s">
        <v>41</v>
      </c>
      <c r="AS67" t="s">
        <v>5</v>
      </c>
      <c r="AT67">
        <v>6</v>
      </c>
      <c r="AU67" s="11">
        <v>0.44</v>
      </c>
      <c r="AV67" s="85" t="s">
        <v>41</v>
      </c>
      <c r="AW67" s="222">
        <v>0</v>
      </c>
      <c r="AX67" s="6">
        <f t="shared" si="17"/>
        <v>4.1666666666666661</v>
      </c>
      <c r="AY67" s="9" t="str">
        <f t="shared" si="18"/>
        <v>Bench</v>
      </c>
      <c r="AZ67" s="9">
        <f t="shared" si="19"/>
        <v>5.166666666666667</v>
      </c>
      <c r="BA67" s="9" t="str">
        <f t="shared" si="20"/>
        <v>Reg</v>
      </c>
      <c r="BB67" s="9">
        <f t="shared" si="21"/>
        <v>5.166666666666667</v>
      </c>
      <c r="BC67" s="9" t="str">
        <f t="shared" si="22"/>
        <v>Reg</v>
      </c>
      <c r="BD67" s="84">
        <f t="shared" si="23"/>
        <v>4</v>
      </c>
      <c r="BE67" s="83">
        <f t="shared" si="24"/>
        <v>1.5</v>
      </c>
      <c r="BF67" t="str">
        <f t="shared" si="25"/>
        <v/>
      </c>
      <c r="BG67" s="91">
        <f>IF(O67="-","-",VLOOKUP($E67,CTPit!$E$10:$AW$175,BG$9,FALSE)-O67)</f>
        <v>1</v>
      </c>
      <c r="BH67" s="91">
        <f>IF(P67="-","-",VLOOKUP($E67,CTPit!$E$10:$AW$175,BH$9,FALSE)-P67)</f>
        <v>0</v>
      </c>
      <c r="BI67" s="91">
        <f>IF(Q67="-","-",VLOOKUP($E67,CTPit!$E$10:$AW$175,BI$9,FALSE)-Q67)</f>
        <v>0</v>
      </c>
      <c r="BJ67" s="91">
        <f>IF(R67="-","-",VLOOKUP($E67,CTPit!$E$10:$AW$175,BJ$9,FALSE)-R67)</f>
        <v>0</v>
      </c>
      <c r="BK67" s="91">
        <f>IF(S67="-","-",VLOOKUP($E67,CTPit!$E$10:$AW$175,BK$9,FALSE)-S67)</f>
        <v>0</v>
      </c>
      <c r="BL67" s="91">
        <f>IF(T67="-","-",VLOOKUP($E67,CTPit!$E$10:$AW$175,BL$9,FALSE)-T67)</f>
        <v>-1</v>
      </c>
      <c r="BM67" s="91">
        <f>IF(U67="-","-",VLOOKUP($E67,CTPit!$E$10:$AW$175,BM$9,FALSE)-U67)</f>
        <v>0</v>
      </c>
      <c r="BN67" s="91">
        <f>IF(V67="-","-",VLOOKUP($E67,CTPit!$E$10:$AW$175,BN$9,FALSE)-V67)</f>
        <v>0</v>
      </c>
      <c r="BO67" s="91">
        <f>IF(W67="-","-",VLOOKUP($E67,CTPit!$E$10:$AW$175,BO$9,FALSE)-W67)</f>
        <v>0</v>
      </c>
      <c r="BP67" s="91">
        <f>IF(X67="-","-",VLOOKUP($E67,CTPit!$E$10:$AW$175,BP$9,FALSE)-X67)</f>
        <v>0</v>
      </c>
      <c r="BQ67" s="91">
        <f>IF(Y67="-","-",VLOOKUP($E67,CTPit!$E$10:$AW$175,BQ$9,FALSE)-Y67)</f>
        <v>0</v>
      </c>
      <c r="BR67" s="91">
        <f>IF(Z67="-","-",VLOOKUP($E67,CTPit!$E$10:$AW$175,BR$9,FALSE)-Z67)</f>
        <v>0</v>
      </c>
      <c r="BS67" s="91">
        <f>IF(AA67="-","-",VLOOKUP($E67,CTPit!$E$10:$AW$175,BS$9,FALSE)-AA67)</f>
        <v>0</v>
      </c>
      <c r="BT67" s="91">
        <f>IF(AB67="-","-",VLOOKUP($E67,CTPit!$E$10:$AW$175,BT$9,FALSE)-AB67)</f>
        <v>0</v>
      </c>
      <c r="BU67" s="91" t="str">
        <f>IF(AC67="-","-",VLOOKUP($E67,CTPit!$E$10:$AW$175,BU$9,FALSE)-AC67)</f>
        <v>-</v>
      </c>
      <c r="BV67" s="91" t="str">
        <f>IF(AD67="-","-",VLOOKUP($E67,CTPit!$E$10:$AW$175,BV$9,FALSE)-AD67)</f>
        <v>-</v>
      </c>
      <c r="BW67" s="91" t="str">
        <f>IF(AE67="-","-",VLOOKUP($E67,CTPit!$E$10:$AW$175,BW$9,FALSE)-AE67)</f>
        <v>-</v>
      </c>
      <c r="BX67" s="91" t="str">
        <f>IF(AF67="-","-",VLOOKUP($E67,CTPit!$E$10:$AW$175,BX$9,FALSE)-AF67)</f>
        <v>-</v>
      </c>
      <c r="BY67" s="91" t="str">
        <f>IF(AG67="-","-",VLOOKUP($E67,CTPit!$E$10:$AW$175,BY$9,FALSE)-AG67)</f>
        <v>-</v>
      </c>
      <c r="BZ67" s="91" t="str">
        <f>IF(AH67="-","-",VLOOKUP($E67,CTPit!$E$10:$AW$175,BZ$9,FALSE)-AH67)</f>
        <v>-</v>
      </c>
      <c r="CA67" s="91" t="str">
        <f>IF(AI67="-","-",VLOOKUP($E67,CTPit!$E$10:$AW$175,CA$9,FALSE)-AI67)</f>
        <v>-</v>
      </c>
      <c r="CB67" s="91" t="str">
        <f>IF(AJ67="-","-",VLOOKUP($E67,CTPit!$E$10:$AW$175,CB$9,FALSE)-AJ67)</f>
        <v>-</v>
      </c>
      <c r="CC67" s="91" t="str">
        <f>IF(AK67="-","-",VLOOKUP($E67,CTPit!$E$10:$AW$175,CC$9,FALSE)-AK67)</f>
        <v>-</v>
      </c>
      <c r="CD67" s="91" t="str">
        <f>IF(AL67="-","-",VLOOKUP($E67,CTPit!$E$10:$AW$175,CD$9,FALSE)-AL67)</f>
        <v>-</v>
      </c>
      <c r="CE67" s="91" t="str">
        <f>IF(AM67="-","-",VLOOKUP($E67,CTPit!$E$10:$AW$175,CE$9,FALSE)-AM67)</f>
        <v>-</v>
      </c>
      <c r="CF67" s="91" t="str">
        <f>IF(AN67="-","-",VLOOKUP($E67,CTPit!$E$10:$AW$175,CF$9,FALSE)-AN67)</f>
        <v>-</v>
      </c>
      <c r="CG67" s="91" t="str">
        <f>IF(AO67="-","-",VLOOKUP($E67,CTPit!$E$10:$AW$175,CG$9,FALSE)-AO67)</f>
        <v>-</v>
      </c>
      <c r="CH67" s="91" t="str">
        <f>IF(AP67="-","-",VLOOKUP($E67,CTPit!$E$10:$AW$175,CH$9,FALSE)-AP67)</f>
        <v>-</v>
      </c>
      <c r="CI67" s="91" t="str">
        <f>IF(AQ67="-","-",VLOOKUP($E67,CTPit!$E$10:$AW$175,CI$9,FALSE)-AQ67)</f>
        <v>-</v>
      </c>
      <c r="CJ67" s="91" t="str">
        <f>IF(AR67="-","-",VLOOKUP($E67,CTPit!$E$10:$AW$175,CJ$9,FALSE)-AR67)</f>
        <v>-</v>
      </c>
      <c r="CK67">
        <f t="shared" si="26"/>
        <v>0</v>
      </c>
    </row>
    <row r="68" spans="3:89">
      <c r="C68" t="str">
        <f t="shared" si="16"/>
        <v>K</v>
      </c>
      <c r="D68" t="s">
        <v>107</v>
      </c>
      <c r="E68" t="s">
        <v>337</v>
      </c>
      <c r="F68" t="s">
        <v>372</v>
      </c>
      <c r="G68" t="s">
        <v>209</v>
      </c>
      <c r="H68">
        <v>25</v>
      </c>
      <c r="I68" t="s">
        <v>104</v>
      </c>
      <c r="J68" s="222" t="s">
        <v>104</v>
      </c>
      <c r="K68" t="s">
        <v>47</v>
      </c>
      <c r="L68" t="s">
        <v>47</v>
      </c>
      <c r="M68" t="s">
        <v>225</v>
      </c>
      <c r="N68" s="222" t="s">
        <v>224</v>
      </c>
      <c r="O68">
        <v>4</v>
      </c>
      <c r="P68">
        <v>6</v>
      </c>
      <c r="Q68" s="222">
        <v>2</v>
      </c>
      <c r="R68">
        <v>4</v>
      </c>
      <c r="S68">
        <v>6</v>
      </c>
      <c r="T68" s="222">
        <v>3</v>
      </c>
      <c r="U68">
        <v>4</v>
      </c>
      <c r="V68">
        <v>4</v>
      </c>
      <c r="W68">
        <v>4</v>
      </c>
      <c r="X68">
        <v>4</v>
      </c>
      <c r="Y68">
        <v>2</v>
      </c>
      <c r="Z68">
        <v>2</v>
      </c>
      <c r="AA68" t="s">
        <v>41</v>
      </c>
      <c r="AB68" t="s">
        <v>41</v>
      </c>
      <c r="AC68" t="s">
        <v>41</v>
      </c>
      <c r="AD68" t="s">
        <v>41</v>
      </c>
      <c r="AE68" t="s">
        <v>41</v>
      </c>
      <c r="AF68" t="s">
        <v>41</v>
      </c>
      <c r="AG68" t="s">
        <v>41</v>
      </c>
      <c r="AH68" t="s">
        <v>41</v>
      </c>
      <c r="AI68" t="s">
        <v>41</v>
      </c>
      <c r="AJ68" t="s">
        <v>41</v>
      </c>
      <c r="AK68" t="s">
        <v>41</v>
      </c>
      <c r="AL68" t="s">
        <v>41</v>
      </c>
      <c r="AM68" t="s">
        <v>41</v>
      </c>
      <c r="AN68" t="s">
        <v>41</v>
      </c>
      <c r="AO68" t="s">
        <v>41</v>
      </c>
      <c r="AP68" t="s">
        <v>41</v>
      </c>
      <c r="AQ68" t="s">
        <v>41</v>
      </c>
      <c r="AR68" s="222" t="s">
        <v>41</v>
      </c>
      <c r="AS68" t="s">
        <v>2</v>
      </c>
      <c r="AT68">
        <v>6</v>
      </c>
      <c r="AU68" s="11">
        <v>0.54</v>
      </c>
      <c r="AV68" s="85" t="s">
        <v>41</v>
      </c>
      <c r="AW68" s="222">
        <v>0</v>
      </c>
      <c r="AX68" s="6">
        <f t="shared" si="17"/>
        <v>4</v>
      </c>
      <c r="AY68" s="9" t="str">
        <f t="shared" si="18"/>
        <v>Minors</v>
      </c>
      <c r="AZ68" s="9">
        <f t="shared" si="19"/>
        <v>4.333333333333333</v>
      </c>
      <c r="BA68" s="9" t="str">
        <f t="shared" si="20"/>
        <v>Bench</v>
      </c>
      <c r="BB68" s="9">
        <f t="shared" si="21"/>
        <v>4.333333333333333</v>
      </c>
      <c r="BC68" s="9" t="str">
        <f t="shared" si="22"/>
        <v>Bench</v>
      </c>
      <c r="BD68" s="84">
        <f t="shared" si="23"/>
        <v>3</v>
      </c>
      <c r="BE68" s="83">
        <f t="shared" si="24"/>
        <v>0</v>
      </c>
      <c r="BF68" t="str">
        <f t="shared" si="25"/>
        <v/>
      </c>
      <c r="BG68" s="91" t="e">
        <f>IF(O68="-","-",VLOOKUP($E68,CTPit!$E$10:$AW$175,BG$9,FALSE)-O68)</f>
        <v>#N/A</v>
      </c>
      <c r="BH68" s="91" t="e">
        <f>IF(P68="-","-",VLOOKUP($E68,CTPit!$E$10:$AW$175,BH$9,FALSE)-P68)</f>
        <v>#N/A</v>
      </c>
      <c r="BI68" s="91" t="e">
        <f>IF(Q68="-","-",VLOOKUP($E68,CTPit!$E$10:$AW$175,BI$9,FALSE)-Q68)</f>
        <v>#N/A</v>
      </c>
      <c r="BJ68" s="91" t="e">
        <f>IF(R68="-","-",VLOOKUP($E68,CTPit!$E$10:$AW$175,BJ$9,FALSE)-R68)</f>
        <v>#N/A</v>
      </c>
      <c r="BK68" s="91" t="e">
        <f>IF(S68="-","-",VLOOKUP($E68,CTPit!$E$10:$AW$175,BK$9,FALSE)-S68)</f>
        <v>#N/A</v>
      </c>
      <c r="BL68" s="91" t="e">
        <f>IF(T68="-","-",VLOOKUP($E68,CTPit!$E$10:$AW$175,BL$9,FALSE)-T68)</f>
        <v>#N/A</v>
      </c>
      <c r="BM68" s="91" t="e">
        <f>IF(U68="-","-",VLOOKUP($E68,CTPit!$E$10:$AW$175,BM$9,FALSE)-U68)</f>
        <v>#N/A</v>
      </c>
      <c r="BN68" s="91" t="e">
        <f>IF(V68="-","-",VLOOKUP($E68,CTPit!$E$10:$AW$175,BN$9,FALSE)-V68)</f>
        <v>#N/A</v>
      </c>
      <c r="BO68" s="91" t="e">
        <f>IF(W68="-","-",VLOOKUP($E68,CTPit!$E$10:$AW$175,BO$9,FALSE)-W68)</f>
        <v>#N/A</v>
      </c>
      <c r="BP68" s="91" t="e">
        <f>IF(X68="-","-",VLOOKUP($E68,CTPit!$E$10:$AW$175,BP$9,FALSE)-X68)</f>
        <v>#N/A</v>
      </c>
      <c r="BQ68" s="91" t="e">
        <f>IF(Y68="-","-",VLOOKUP($E68,CTPit!$E$10:$AW$175,BQ$9,FALSE)-Y68)</f>
        <v>#N/A</v>
      </c>
      <c r="BR68" s="91" t="e">
        <f>IF(Z68="-","-",VLOOKUP($E68,CTPit!$E$10:$AW$175,BR$9,FALSE)-Z68)</f>
        <v>#N/A</v>
      </c>
      <c r="BS68" s="91" t="str">
        <f>IF(AA68="-","-",VLOOKUP($E68,CTPit!$E$10:$AW$175,BS$9,FALSE)-AA68)</f>
        <v>-</v>
      </c>
      <c r="BT68" s="91" t="str">
        <f>IF(AB68="-","-",VLOOKUP($E68,CTPit!$E$10:$AW$175,BT$9,FALSE)-AB68)</f>
        <v>-</v>
      </c>
      <c r="BU68" s="91" t="str">
        <f>IF(AC68="-","-",VLOOKUP($E68,CTPit!$E$10:$AW$175,BU$9,FALSE)-AC68)</f>
        <v>-</v>
      </c>
      <c r="BV68" s="91" t="str">
        <f>IF(AD68="-","-",VLOOKUP($E68,CTPit!$E$10:$AW$175,BV$9,FALSE)-AD68)</f>
        <v>-</v>
      </c>
      <c r="BW68" s="91" t="str">
        <f>IF(AE68="-","-",VLOOKUP($E68,CTPit!$E$10:$AW$175,BW$9,FALSE)-AE68)</f>
        <v>-</v>
      </c>
      <c r="BX68" s="91" t="str">
        <f>IF(AF68="-","-",VLOOKUP($E68,CTPit!$E$10:$AW$175,BX$9,FALSE)-AF68)</f>
        <v>-</v>
      </c>
      <c r="BY68" s="91" t="str">
        <f>IF(AG68="-","-",VLOOKUP($E68,CTPit!$E$10:$AW$175,BY$9,FALSE)-AG68)</f>
        <v>-</v>
      </c>
      <c r="BZ68" s="91" t="str">
        <f>IF(AH68="-","-",VLOOKUP($E68,CTPit!$E$10:$AW$175,BZ$9,FALSE)-AH68)</f>
        <v>-</v>
      </c>
      <c r="CA68" s="91" t="str">
        <f>IF(AI68="-","-",VLOOKUP($E68,CTPit!$E$10:$AW$175,CA$9,FALSE)-AI68)</f>
        <v>-</v>
      </c>
      <c r="CB68" s="91" t="str">
        <f>IF(AJ68="-","-",VLOOKUP($E68,CTPit!$E$10:$AW$175,CB$9,FALSE)-AJ68)</f>
        <v>-</v>
      </c>
      <c r="CC68" s="91" t="str">
        <f>IF(AK68="-","-",VLOOKUP($E68,CTPit!$E$10:$AW$175,CC$9,FALSE)-AK68)</f>
        <v>-</v>
      </c>
      <c r="CD68" s="91" t="str">
        <f>IF(AL68="-","-",VLOOKUP($E68,CTPit!$E$10:$AW$175,CD$9,FALSE)-AL68)</f>
        <v>-</v>
      </c>
      <c r="CE68" s="91" t="str">
        <f>IF(AM68="-","-",VLOOKUP($E68,CTPit!$E$10:$AW$175,CE$9,FALSE)-AM68)</f>
        <v>-</v>
      </c>
      <c r="CF68" s="91" t="str">
        <f>IF(AN68="-","-",VLOOKUP($E68,CTPit!$E$10:$AW$175,CF$9,FALSE)-AN68)</f>
        <v>-</v>
      </c>
      <c r="CG68" s="91" t="str">
        <f>IF(AO68="-","-",VLOOKUP($E68,CTPit!$E$10:$AW$175,CG$9,FALSE)-AO68)</f>
        <v>-</v>
      </c>
      <c r="CH68" s="91" t="str">
        <f>IF(AP68="-","-",VLOOKUP($E68,CTPit!$E$10:$AW$175,CH$9,FALSE)-AP68)</f>
        <v>-</v>
      </c>
      <c r="CI68" s="91" t="str">
        <f>IF(AQ68="-","-",VLOOKUP($E68,CTPit!$E$10:$AW$175,CI$9,FALSE)-AQ68)</f>
        <v>-</v>
      </c>
      <c r="CJ68" s="91" t="str">
        <f>IF(AR68="-","-",VLOOKUP($E68,CTPit!$E$10:$AW$175,CJ$9,FALSE)-AR68)</f>
        <v>-</v>
      </c>
      <c r="CK68" t="e">
        <f t="shared" si="26"/>
        <v>#N/A</v>
      </c>
    </row>
    <row r="69" spans="3:89">
      <c r="C69" t="str">
        <f t="shared" si="16"/>
        <v>K</v>
      </c>
      <c r="D69" t="s">
        <v>107</v>
      </c>
      <c r="E69" t="s">
        <v>415</v>
      </c>
      <c r="F69" t="s">
        <v>370</v>
      </c>
      <c r="G69" t="s">
        <v>316</v>
      </c>
      <c r="H69">
        <v>20</v>
      </c>
      <c r="I69" t="s">
        <v>104</v>
      </c>
      <c r="J69" s="222" t="s">
        <v>104</v>
      </c>
      <c r="K69" t="s">
        <v>47</v>
      </c>
      <c r="L69" t="s">
        <v>42</v>
      </c>
      <c r="M69" t="s">
        <v>226</v>
      </c>
      <c r="N69" s="222" t="s">
        <v>223</v>
      </c>
      <c r="O69">
        <v>5</v>
      </c>
      <c r="P69">
        <v>4</v>
      </c>
      <c r="Q69" s="222">
        <v>2</v>
      </c>
      <c r="R69">
        <v>7</v>
      </c>
      <c r="S69">
        <v>4</v>
      </c>
      <c r="T69" s="222">
        <v>4</v>
      </c>
      <c r="U69">
        <v>6</v>
      </c>
      <c r="V69">
        <v>8</v>
      </c>
      <c r="W69" t="s">
        <v>41</v>
      </c>
      <c r="X69" t="s">
        <v>41</v>
      </c>
      <c r="Y69">
        <v>4</v>
      </c>
      <c r="Z69">
        <v>7</v>
      </c>
      <c r="AA69" t="s">
        <v>41</v>
      </c>
      <c r="AB69" t="s">
        <v>41</v>
      </c>
      <c r="AC69" t="s">
        <v>41</v>
      </c>
      <c r="AD69" t="s">
        <v>41</v>
      </c>
      <c r="AE69" t="s">
        <v>41</v>
      </c>
      <c r="AF69" t="s">
        <v>41</v>
      </c>
      <c r="AG69" t="s">
        <v>41</v>
      </c>
      <c r="AH69" t="s">
        <v>41</v>
      </c>
      <c r="AI69" t="s">
        <v>41</v>
      </c>
      <c r="AJ69" t="s">
        <v>41</v>
      </c>
      <c r="AK69" t="s">
        <v>41</v>
      </c>
      <c r="AL69" t="s">
        <v>41</v>
      </c>
      <c r="AM69" t="s">
        <v>41</v>
      </c>
      <c r="AN69" t="s">
        <v>41</v>
      </c>
      <c r="AO69" t="s">
        <v>41</v>
      </c>
      <c r="AP69" t="s">
        <v>41</v>
      </c>
      <c r="AQ69" t="s">
        <v>41</v>
      </c>
      <c r="AR69" s="222" t="s">
        <v>41</v>
      </c>
      <c r="AS69" t="s">
        <v>11</v>
      </c>
      <c r="AT69">
        <v>10</v>
      </c>
      <c r="AU69" s="11">
        <v>0.44</v>
      </c>
      <c r="AV69" s="85" t="s">
        <v>41</v>
      </c>
      <c r="AW69" s="222">
        <v>0</v>
      </c>
      <c r="AX69" s="6">
        <f t="shared" si="17"/>
        <v>3.9166666666666665</v>
      </c>
      <c r="AY69" s="9" t="str">
        <f t="shared" si="18"/>
        <v>Minors</v>
      </c>
      <c r="AZ69" s="9">
        <f t="shared" si="19"/>
        <v>5.25</v>
      </c>
      <c r="BA69" s="9" t="str">
        <f t="shared" si="20"/>
        <v>Reg</v>
      </c>
      <c r="BB69" s="9">
        <f t="shared" si="21"/>
        <v>5.25</v>
      </c>
      <c r="BC69" s="9" t="str">
        <f t="shared" si="22"/>
        <v>Reg</v>
      </c>
      <c r="BD69" s="84">
        <f t="shared" si="23"/>
        <v>2</v>
      </c>
      <c r="BE69" s="83">
        <f t="shared" si="24"/>
        <v>1.5</v>
      </c>
      <c r="BF69" t="str">
        <f t="shared" si="25"/>
        <v/>
      </c>
      <c r="BG69" s="91">
        <f>IF(O69="-","-",VLOOKUP($E69,CTPit!$E$10:$AW$175,BG$9,FALSE)-O69)</f>
        <v>0</v>
      </c>
      <c r="BH69" s="91">
        <f>IF(P69="-","-",VLOOKUP($E69,CTPit!$E$10:$AW$175,BH$9,FALSE)-P69)</f>
        <v>0</v>
      </c>
      <c r="BI69" s="91">
        <f>IF(Q69="-","-",VLOOKUP($E69,CTPit!$E$10:$AW$175,BI$9,FALSE)-Q69)</f>
        <v>0</v>
      </c>
      <c r="BJ69" s="91">
        <f>IF(R69="-","-",VLOOKUP($E69,CTPit!$E$10:$AW$175,BJ$9,FALSE)-R69)</f>
        <v>-1</v>
      </c>
      <c r="BK69" s="91">
        <f>IF(S69="-","-",VLOOKUP($E69,CTPit!$E$10:$AW$175,BK$9,FALSE)-S69)</f>
        <v>0</v>
      </c>
      <c r="BL69" s="91">
        <f>IF(T69="-","-",VLOOKUP($E69,CTPit!$E$10:$AW$175,BL$9,FALSE)-T69)</f>
        <v>-1</v>
      </c>
      <c r="BM69" s="91">
        <f>IF(U69="-","-",VLOOKUP($E69,CTPit!$E$10:$AW$175,BM$9,FALSE)-U69)</f>
        <v>0</v>
      </c>
      <c r="BN69" s="91">
        <f>IF(V69="-","-",VLOOKUP($E69,CTPit!$E$10:$AW$175,BN$9,FALSE)-V69)</f>
        <v>0</v>
      </c>
      <c r="BO69" s="91" t="str">
        <f>IF(W69="-","-",VLOOKUP($E69,CTPit!$E$10:$AW$175,BO$9,FALSE)-W69)</f>
        <v>-</v>
      </c>
      <c r="BP69" s="91" t="str">
        <f>IF(X69="-","-",VLOOKUP($E69,CTPit!$E$10:$AW$175,BP$9,FALSE)-X69)</f>
        <v>-</v>
      </c>
      <c r="BQ69" s="91">
        <f>IF(Y69="-","-",VLOOKUP($E69,CTPit!$E$10:$AW$175,BQ$9,FALSE)-Y69)</f>
        <v>1</v>
      </c>
      <c r="BR69" s="91">
        <f>IF(Z69="-","-",VLOOKUP($E69,CTPit!$E$10:$AW$175,BR$9,FALSE)-Z69)</f>
        <v>-1</v>
      </c>
      <c r="BS69" s="91" t="str">
        <f>IF(AA69="-","-",VLOOKUP($E69,CTPit!$E$10:$AW$175,BS$9,FALSE)-AA69)</f>
        <v>-</v>
      </c>
      <c r="BT69" s="91" t="str">
        <f>IF(AB69="-","-",VLOOKUP($E69,CTPit!$E$10:$AW$175,BT$9,FALSE)-AB69)</f>
        <v>-</v>
      </c>
      <c r="BU69" s="91" t="str">
        <f>IF(AC69="-","-",VLOOKUP($E69,CTPit!$E$10:$AW$175,BU$9,FALSE)-AC69)</f>
        <v>-</v>
      </c>
      <c r="BV69" s="91" t="str">
        <f>IF(AD69="-","-",VLOOKUP($E69,CTPit!$E$10:$AW$175,BV$9,FALSE)-AD69)</f>
        <v>-</v>
      </c>
      <c r="BW69" s="91" t="str">
        <f>IF(AE69="-","-",VLOOKUP($E69,CTPit!$E$10:$AW$175,BW$9,FALSE)-AE69)</f>
        <v>-</v>
      </c>
      <c r="BX69" s="91" t="str">
        <f>IF(AF69="-","-",VLOOKUP($E69,CTPit!$E$10:$AW$175,BX$9,FALSE)-AF69)</f>
        <v>-</v>
      </c>
      <c r="BY69" s="91" t="str">
        <f>IF(AG69="-","-",VLOOKUP($E69,CTPit!$E$10:$AW$175,BY$9,FALSE)-AG69)</f>
        <v>-</v>
      </c>
      <c r="BZ69" s="91" t="str">
        <f>IF(AH69="-","-",VLOOKUP($E69,CTPit!$E$10:$AW$175,BZ$9,FALSE)-AH69)</f>
        <v>-</v>
      </c>
      <c r="CA69" s="91" t="str">
        <f>IF(AI69="-","-",VLOOKUP($E69,CTPit!$E$10:$AW$175,CA$9,FALSE)-AI69)</f>
        <v>-</v>
      </c>
      <c r="CB69" s="91" t="str">
        <f>IF(AJ69="-","-",VLOOKUP($E69,CTPit!$E$10:$AW$175,CB$9,FALSE)-AJ69)</f>
        <v>-</v>
      </c>
      <c r="CC69" s="91" t="str">
        <f>IF(AK69="-","-",VLOOKUP($E69,CTPit!$E$10:$AW$175,CC$9,FALSE)-AK69)</f>
        <v>-</v>
      </c>
      <c r="CD69" s="91" t="str">
        <f>IF(AL69="-","-",VLOOKUP($E69,CTPit!$E$10:$AW$175,CD$9,FALSE)-AL69)</f>
        <v>-</v>
      </c>
      <c r="CE69" s="91" t="str">
        <f>IF(AM69="-","-",VLOOKUP($E69,CTPit!$E$10:$AW$175,CE$9,FALSE)-AM69)</f>
        <v>-</v>
      </c>
      <c r="CF69" s="91" t="str">
        <f>IF(AN69="-","-",VLOOKUP($E69,CTPit!$E$10:$AW$175,CF$9,FALSE)-AN69)</f>
        <v>-</v>
      </c>
      <c r="CG69" s="91" t="str">
        <f>IF(AO69="-","-",VLOOKUP($E69,CTPit!$E$10:$AW$175,CG$9,FALSE)-AO69)</f>
        <v>-</v>
      </c>
      <c r="CH69" s="91" t="str">
        <f>IF(AP69="-","-",VLOOKUP($E69,CTPit!$E$10:$AW$175,CH$9,FALSE)-AP69)</f>
        <v>-</v>
      </c>
      <c r="CI69" s="91" t="str">
        <f>IF(AQ69="-","-",VLOOKUP($E69,CTPit!$E$10:$AW$175,CI$9,FALSE)-AQ69)</f>
        <v>-</v>
      </c>
      <c r="CJ69" s="91" t="str">
        <f>IF(AR69="-","-",VLOOKUP($E69,CTPit!$E$10:$AW$175,CJ$9,FALSE)-AR69)</f>
        <v>-</v>
      </c>
      <c r="CK69">
        <f t="shared" si="26"/>
        <v>-2</v>
      </c>
    </row>
    <row r="70" spans="3:89">
      <c r="C70" t="str">
        <f t="shared" si="16"/>
        <v>K</v>
      </c>
      <c r="D70" t="s">
        <v>107</v>
      </c>
      <c r="E70" t="s">
        <v>501</v>
      </c>
      <c r="F70" t="s">
        <v>372</v>
      </c>
      <c r="G70" t="s">
        <v>209</v>
      </c>
      <c r="H70">
        <v>23</v>
      </c>
      <c r="I70" t="s">
        <v>104</v>
      </c>
      <c r="J70" s="222" t="s">
        <v>104</v>
      </c>
      <c r="K70" t="s">
        <v>47</v>
      </c>
      <c r="L70" t="s">
        <v>42</v>
      </c>
      <c r="M70" t="s">
        <v>227</v>
      </c>
      <c r="N70" s="222" t="s">
        <v>223</v>
      </c>
      <c r="O70">
        <v>6</v>
      </c>
      <c r="P70">
        <v>3</v>
      </c>
      <c r="Q70" s="222">
        <v>2</v>
      </c>
      <c r="R70">
        <v>7</v>
      </c>
      <c r="S70">
        <v>3</v>
      </c>
      <c r="T70" s="222">
        <v>4</v>
      </c>
      <c r="U70">
        <v>6</v>
      </c>
      <c r="V70">
        <v>7</v>
      </c>
      <c r="W70" t="s">
        <v>41</v>
      </c>
      <c r="X70" t="s">
        <v>41</v>
      </c>
      <c r="Y70" t="s">
        <v>41</v>
      </c>
      <c r="Z70" t="s">
        <v>41</v>
      </c>
      <c r="AA70">
        <v>5</v>
      </c>
      <c r="AB70">
        <v>6</v>
      </c>
      <c r="AC70" t="s">
        <v>41</v>
      </c>
      <c r="AD70" t="s">
        <v>41</v>
      </c>
      <c r="AE70" t="s">
        <v>41</v>
      </c>
      <c r="AF70" t="s">
        <v>41</v>
      </c>
      <c r="AG70" t="s">
        <v>41</v>
      </c>
      <c r="AH70" t="s">
        <v>41</v>
      </c>
      <c r="AI70" t="s">
        <v>41</v>
      </c>
      <c r="AJ70" t="s">
        <v>41</v>
      </c>
      <c r="AK70" t="s">
        <v>41</v>
      </c>
      <c r="AL70" t="s">
        <v>41</v>
      </c>
      <c r="AM70" t="s">
        <v>41</v>
      </c>
      <c r="AN70" t="s">
        <v>41</v>
      </c>
      <c r="AO70" t="s">
        <v>41</v>
      </c>
      <c r="AP70" t="s">
        <v>41</v>
      </c>
      <c r="AQ70" t="s">
        <v>41</v>
      </c>
      <c r="AR70" s="222" t="s">
        <v>41</v>
      </c>
      <c r="AS70" t="s">
        <v>242</v>
      </c>
      <c r="AT70">
        <v>2</v>
      </c>
      <c r="AU70" s="11">
        <v>0.44</v>
      </c>
      <c r="AV70" s="85" t="s">
        <v>41</v>
      </c>
      <c r="AW70" s="222" t="s">
        <v>45</v>
      </c>
      <c r="AX70" s="6">
        <f t="shared" si="17"/>
        <v>3.9166666666666665</v>
      </c>
      <c r="AY70" s="9" t="str">
        <f t="shared" si="18"/>
        <v>Minors</v>
      </c>
      <c r="AZ70" s="9">
        <f t="shared" si="19"/>
        <v>4.916666666666667</v>
      </c>
      <c r="BA70" s="9" t="str">
        <f t="shared" si="20"/>
        <v>Bench</v>
      </c>
      <c r="BB70" s="9">
        <f t="shared" si="21"/>
        <v>4.916666666666667</v>
      </c>
      <c r="BC70" s="9" t="str">
        <f t="shared" si="22"/>
        <v>Bench</v>
      </c>
      <c r="BD70" s="84">
        <f t="shared" si="23"/>
        <v>2</v>
      </c>
      <c r="BE70" s="83">
        <f t="shared" si="24"/>
        <v>1.5</v>
      </c>
      <c r="BF70" t="str">
        <f t="shared" si="25"/>
        <v/>
      </c>
      <c r="BG70" s="91">
        <f>IF(O70="-","-",VLOOKUP($E70,CTPit!$E$10:$AW$175,BG$9,FALSE)-O70)</f>
        <v>0</v>
      </c>
      <c r="BH70" s="91">
        <f>IF(P70="-","-",VLOOKUP($E70,CTPit!$E$10:$AW$175,BH$9,FALSE)-P70)</f>
        <v>1</v>
      </c>
      <c r="BI70" s="91">
        <f>IF(Q70="-","-",VLOOKUP($E70,CTPit!$E$10:$AW$175,BI$9,FALSE)-Q70)</f>
        <v>0</v>
      </c>
      <c r="BJ70" s="91">
        <f>IF(R70="-","-",VLOOKUP($E70,CTPit!$E$10:$AW$175,BJ$9,FALSE)-R70)</f>
        <v>-1</v>
      </c>
      <c r="BK70" s="91">
        <f>IF(S70="-","-",VLOOKUP($E70,CTPit!$E$10:$AW$175,BK$9,FALSE)-S70)</f>
        <v>1</v>
      </c>
      <c r="BL70" s="91">
        <f>IF(T70="-","-",VLOOKUP($E70,CTPit!$E$10:$AW$175,BL$9,FALSE)-T70)</f>
        <v>-1</v>
      </c>
      <c r="BM70" s="91">
        <f>IF(U70="-","-",VLOOKUP($E70,CTPit!$E$10:$AW$175,BM$9,FALSE)-U70)</f>
        <v>0</v>
      </c>
      <c r="BN70" s="91">
        <f>IF(V70="-","-",VLOOKUP($E70,CTPit!$E$10:$AW$175,BN$9,FALSE)-V70)</f>
        <v>-1</v>
      </c>
      <c r="BO70" s="91" t="str">
        <f>IF(W70="-","-",VLOOKUP($E70,CTPit!$E$10:$AW$175,BO$9,FALSE)-W70)</f>
        <v>-</v>
      </c>
      <c r="BP70" s="91" t="str">
        <f>IF(X70="-","-",VLOOKUP($E70,CTPit!$E$10:$AW$175,BP$9,FALSE)-X70)</f>
        <v>-</v>
      </c>
      <c r="BQ70" s="91" t="str">
        <f>IF(Y70="-","-",VLOOKUP($E70,CTPit!$E$10:$AW$175,BQ$9,FALSE)-Y70)</f>
        <v>-</v>
      </c>
      <c r="BR70" s="91" t="str">
        <f>IF(Z70="-","-",VLOOKUP($E70,CTPit!$E$10:$AW$175,BR$9,FALSE)-Z70)</f>
        <v>-</v>
      </c>
      <c r="BS70" s="91">
        <f>IF(AA70="-","-",VLOOKUP($E70,CTPit!$E$10:$AW$175,BS$9,FALSE)-AA70)</f>
        <v>0</v>
      </c>
      <c r="BT70" s="91">
        <f>IF(AB70="-","-",VLOOKUP($E70,CTPit!$E$10:$AW$175,BT$9,FALSE)-AB70)</f>
        <v>0</v>
      </c>
      <c r="BU70" s="91" t="str">
        <f>IF(AC70="-","-",VLOOKUP($E70,CTPit!$E$10:$AW$175,BU$9,FALSE)-AC70)</f>
        <v>-</v>
      </c>
      <c r="BV70" s="91" t="str">
        <f>IF(AD70="-","-",VLOOKUP($E70,CTPit!$E$10:$AW$175,BV$9,FALSE)-AD70)</f>
        <v>-</v>
      </c>
      <c r="BW70" s="91" t="str">
        <f>IF(AE70="-","-",VLOOKUP($E70,CTPit!$E$10:$AW$175,BW$9,FALSE)-AE70)</f>
        <v>-</v>
      </c>
      <c r="BX70" s="91" t="str">
        <f>IF(AF70="-","-",VLOOKUP($E70,CTPit!$E$10:$AW$175,BX$9,FALSE)-AF70)</f>
        <v>-</v>
      </c>
      <c r="BY70" s="91" t="str">
        <f>IF(AG70="-","-",VLOOKUP($E70,CTPit!$E$10:$AW$175,BY$9,FALSE)-AG70)</f>
        <v>-</v>
      </c>
      <c r="BZ70" s="91" t="str">
        <f>IF(AH70="-","-",VLOOKUP($E70,CTPit!$E$10:$AW$175,BZ$9,FALSE)-AH70)</f>
        <v>-</v>
      </c>
      <c r="CA70" s="91" t="str">
        <f>IF(AI70="-","-",VLOOKUP($E70,CTPit!$E$10:$AW$175,CA$9,FALSE)-AI70)</f>
        <v>-</v>
      </c>
      <c r="CB70" s="91" t="str">
        <f>IF(AJ70="-","-",VLOOKUP($E70,CTPit!$E$10:$AW$175,CB$9,FALSE)-AJ70)</f>
        <v>-</v>
      </c>
      <c r="CC70" s="91" t="str">
        <f>IF(AK70="-","-",VLOOKUP($E70,CTPit!$E$10:$AW$175,CC$9,FALSE)-AK70)</f>
        <v>-</v>
      </c>
      <c r="CD70" s="91" t="str">
        <f>IF(AL70="-","-",VLOOKUP($E70,CTPit!$E$10:$AW$175,CD$9,FALSE)-AL70)</f>
        <v>-</v>
      </c>
      <c r="CE70" s="91" t="str">
        <f>IF(AM70="-","-",VLOOKUP($E70,CTPit!$E$10:$AW$175,CE$9,FALSE)-AM70)</f>
        <v>-</v>
      </c>
      <c r="CF70" s="91" t="str">
        <f>IF(AN70="-","-",VLOOKUP($E70,CTPit!$E$10:$AW$175,CF$9,FALSE)-AN70)</f>
        <v>-</v>
      </c>
      <c r="CG70" s="91" t="str">
        <f>IF(AO70="-","-",VLOOKUP($E70,CTPit!$E$10:$AW$175,CG$9,FALSE)-AO70)</f>
        <v>-</v>
      </c>
      <c r="CH70" s="91" t="str">
        <f>IF(AP70="-","-",VLOOKUP($E70,CTPit!$E$10:$AW$175,CH$9,FALSE)-AP70)</f>
        <v>-</v>
      </c>
      <c r="CI70" s="91" t="str">
        <f>IF(AQ70="-","-",VLOOKUP($E70,CTPit!$E$10:$AW$175,CI$9,FALSE)-AQ70)</f>
        <v>-</v>
      </c>
      <c r="CJ70" s="91" t="str">
        <f>IF(AR70="-","-",VLOOKUP($E70,CTPit!$E$10:$AW$175,CJ$9,FALSE)-AR70)</f>
        <v>-</v>
      </c>
      <c r="CK70">
        <f t="shared" si="26"/>
        <v>-1</v>
      </c>
    </row>
    <row r="71" spans="3:89">
      <c r="C71" t="str">
        <f t="shared" si="16"/>
        <v>K</v>
      </c>
      <c r="D71" t="s">
        <v>108</v>
      </c>
      <c r="E71" t="s">
        <v>317</v>
      </c>
      <c r="F71" t="s">
        <v>370</v>
      </c>
      <c r="G71" t="s">
        <v>316</v>
      </c>
      <c r="H71">
        <v>21</v>
      </c>
      <c r="I71" t="s">
        <v>104</v>
      </c>
      <c r="J71" s="222" t="s">
        <v>104</v>
      </c>
      <c r="K71" t="s">
        <v>47</v>
      </c>
      <c r="L71" t="s">
        <v>47</v>
      </c>
      <c r="M71" t="s">
        <v>226</v>
      </c>
      <c r="N71" s="222" t="s">
        <v>224</v>
      </c>
      <c r="O71">
        <v>5</v>
      </c>
      <c r="P71">
        <v>5</v>
      </c>
      <c r="Q71" s="222">
        <v>1</v>
      </c>
      <c r="R71">
        <v>6</v>
      </c>
      <c r="S71">
        <v>5</v>
      </c>
      <c r="T71" s="222">
        <v>2</v>
      </c>
      <c r="U71">
        <v>7</v>
      </c>
      <c r="V71">
        <v>7</v>
      </c>
      <c r="W71">
        <v>5</v>
      </c>
      <c r="X71">
        <v>7</v>
      </c>
      <c r="Y71">
        <v>6</v>
      </c>
      <c r="Z71">
        <v>6</v>
      </c>
      <c r="AA71" t="s">
        <v>41</v>
      </c>
      <c r="AB71" t="s">
        <v>41</v>
      </c>
      <c r="AC71" t="s">
        <v>41</v>
      </c>
      <c r="AD71" t="s">
        <v>41</v>
      </c>
      <c r="AE71" t="s">
        <v>41</v>
      </c>
      <c r="AF71" t="s">
        <v>41</v>
      </c>
      <c r="AG71" t="s">
        <v>41</v>
      </c>
      <c r="AH71" t="s">
        <v>41</v>
      </c>
      <c r="AI71" t="s">
        <v>41</v>
      </c>
      <c r="AJ71" t="s">
        <v>41</v>
      </c>
      <c r="AK71" t="s">
        <v>41</v>
      </c>
      <c r="AL71" t="s">
        <v>41</v>
      </c>
      <c r="AM71" t="s">
        <v>41</v>
      </c>
      <c r="AN71" t="s">
        <v>41</v>
      </c>
      <c r="AO71" t="s">
        <v>41</v>
      </c>
      <c r="AP71" t="s">
        <v>41</v>
      </c>
      <c r="AQ71" t="s">
        <v>41</v>
      </c>
      <c r="AR71" s="222" t="s">
        <v>41</v>
      </c>
      <c r="AS71" t="s">
        <v>242</v>
      </c>
      <c r="AT71">
        <v>8</v>
      </c>
      <c r="AU71" s="11">
        <v>0.53</v>
      </c>
      <c r="AV71" s="85" t="s">
        <v>41</v>
      </c>
      <c r="AW71" s="222">
        <v>0</v>
      </c>
      <c r="AX71" s="6">
        <f t="shared" si="17"/>
        <v>3.9166666666666665</v>
      </c>
      <c r="AY71" s="9" t="str">
        <f t="shared" si="18"/>
        <v>Minors</v>
      </c>
      <c r="AZ71" s="9">
        <f t="shared" si="19"/>
        <v>4.583333333333333</v>
      </c>
      <c r="BA71" s="9" t="str">
        <f t="shared" si="20"/>
        <v>Bench</v>
      </c>
      <c r="BB71" s="9">
        <f t="shared" si="21"/>
        <v>4.583333333333333</v>
      </c>
      <c r="BC71" s="9" t="str">
        <f t="shared" si="22"/>
        <v>Bench</v>
      </c>
      <c r="BD71" s="84">
        <f t="shared" si="23"/>
        <v>3</v>
      </c>
      <c r="BE71" s="83">
        <f t="shared" si="24"/>
        <v>2.5</v>
      </c>
      <c r="BF71" t="str">
        <f t="shared" si="25"/>
        <v/>
      </c>
      <c r="BG71" s="91">
        <f>IF(O71="-","-",VLOOKUP($E71,CTPit!$E$10:$AW$175,BG$9,FALSE)-O71)</f>
        <v>0</v>
      </c>
      <c r="BH71" s="91">
        <f>IF(P71="-","-",VLOOKUP($E71,CTPit!$E$10:$AW$175,BH$9,FALSE)-P71)</f>
        <v>1</v>
      </c>
      <c r="BI71" s="91">
        <f>IF(Q71="-","-",VLOOKUP($E71,CTPit!$E$10:$AW$175,BI$9,FALSE)-Q71)</f>
        <v>1</v>
      </c>
      <c r="BJ71" s="91">
        <f>IF(R71="-","-",VLOOKUP($E71,CTPit!$E$10:$AW$175,BJ$9,FALSE)-R71)</f>
        <v>0</v>
      </c>
      <c r="BK71" s="91">
        <f>IF(S71="-","-",VLOOKUP($E71,CTPit!$E$10:$AW$175,BK$9,FALSE)-S71)</f>
        <v>1</v>
      </c>
      <c r="BL71" s="91">
        <f>IF(T71="-","-",VLOOKUP($E71,CTPit!$E$10:$AW$175,BL$9,FALSE)-T71)</f>
        <v>0</v>
      </c>
      <c r="BM71" s="91">
        <f>IF(U71="-","-",VLOOKUP($E71,CTPit!$E$10:$AW$175,BM$9,FALSE)-U71)</f>
        <v>0</v>
      </c>
      <c r="BN71" s="91">
        <f>IF(V71="-","-",VLOOKUP($E71,CTPit!$E$10:$AW$175,BN$9,FALSE)-V71)</f>
        <v>0</v>
      </c>
      <c r="BO71" s="91">
        <f>IF(W71="-","-",VLOOKUP($E71,CTPit!$E$10:$AW$175,BO$9,FALSE)-W71)</f>
        <v>1</v>
      </c>
      <c r="BP71" s="91">
        <f>IF(X71="-","-",VLOOKUP($E71,CTPit!$E$10:$AW$175,BP$9,FALSE)-X71)</f>
        <v>-1</v>
      </c>
      <c r="BQ71" s="91">
        <f>IF(Y71="-","-",VLOOKUP($E71,CTPit!$E$10:$AW$175,BQ$9,FALSE)-Y71)</f>
        <v>0</v>
      </c>
      <c r="BR71" s="91">
        <f>IF(Z71="-","-",VLOOKUP($E71,CTPit!$E$10:$AW$175,BR$9,FALSE)-Z71)</f>
        <v>0</v>
      </c>
      <c r="BS71" s="91" t="str">
        <f>IF(AA71="-","-",VLOOKUP($E71,CTPit!$E$10:$AW$175,BS$9,FALSE)-AA71)</f>
        <v>-</v>
      </c>
      <c r="BT71" s="91" t="str">
        <f>IF(AB71="-","-",VLOOKUP($E71,CTPit!$E$10:$AW$175,BT$9,FALSE)-AB71)</f>
        <v>-</v>
      </c>
      <c r="BU71" s="91" t="str">
        <f>IF(AC71="-","-",VLOOKUP($E71,CTPit!$E$10:$AW$175,BU$9,FALSE)-AC71)</f>
        <v>-</v>
      </c>
      <c r="BV71" s="91" t="str">
        <f>IF(AD71="-","-",VLOOKUP($E71,CTPit!$E$10:$AW$175,BV$9,FALSE)-AD71)</f>
        <v>-</v>
      </c>
      <c r="BW71" s="91" t="str">
        <f>IF(AE71="-","-",VLOOKUP($E71,CTPit!$E$10:$AW$175,BW$9,FALSE)-AE71)</f>
        <v>-</v>
      </c>
      <c r="BX71" s="91" t="str">
        <f>IF(AF71="-","-",VLOOKUP($E71,CTPit!$E$10:$AW$175,BX$9,FALSE)-AF71)</f>
        <v>-</v>
      </c>
      <c r="BY71" s="91" t="str">
        <f>IF(AG71="-","-",VLOOKUP($E71,CTPit!$E$10:$AW$175,BY$9,FALSE)-AG71)</f>
        <v>-</v>
      </c>
      <c r="BZ71" s="91" t="str">
        <f>IF(AH71="-","-",VLOOKUP($E71,CTPit!$E$10:$AW$175,BZ$9,FALSE)-AH71)</f>
        <v>-</v>
      </c>
      <c r="CA71" s="91" t="str">
        <f>IF(AI71="-","-",VLOOKUP($E71,CTPit!$E$10:$AW$175,CA$9,FALSE)-AI71)</f>
        <v>-</v>
      </c>
      <c r="CB71" s="91" t="str">
        <f>IF(AJ71="-","-",VLOOKUP($E71,CTPit!$E$10:$AW$175,CB$9,FALSE)-AJ71)</f>
        <v>-</v>
      </c>
      <c r="CC71" s="91" t="str">
        <f>IF(AK71="-","-",VLOOKUP($E71,CTPit!$E$10:$AW$175,CC$9,FALSE)-AK71)</f>
        <v>-</v>
      </c>
      <c r="CD71" s="91" t="str">
        <f>IF(AL71="-","-",VLOOKUP($E71,CTPit!$E$10:$AW$175,CD$9,FALSE)-AL71)</f>
        <v>-</v>
      </c>
      <c r="CE71" s="91" t="str">
        <f>IF(AM71="-","-",VLOOKUP($E71,CTPit!$E$10:$AW$175,CE$9,FALSE)-AM71)</f>
        <v>-</v>
      </c>
      <c r="CF71" s="91" t="str">
        <f>IF(AN71="-","-",VLOOKUP($E71,CTPit!$E$10:$AW$175,CF$9,FALSE)-AN71)</f>
        <v>-</v>
      </c>
      <c r="CG71" s="91" t="str">
        <f>IF(AO71="-","-",VLOOKUP($E71,CTPit!$E$10:$AW$175,CG$9,FALSE)-AO71)</f>
        <v>-</v>
      </c>
      <c r="CH71" s="91" t="str">
        <f>IF(AP71="-","-",VLOOKUP($E71,CTPit!$E$10:$AW$175,CH$9,FALSE)-AP71)</f>
        <v>-</v>
      </c>
      <c r="CI71" s="91" t="str">
        <f>IF(AQ71="-","-",VLOOKUP($E71,CTPit!$E$10:$AW$175,CI$9,FALSE)-AQ71)</f>
        <v>-</v>
      </c>
      <c r="CJ71" s="91" t="str">
        <f>IF(AR71="-","-",VLOOKUP($E71,CTPit!$E$10:$AW$175,CJ$9,FALSE)-AR71)</f>
        <v>-</v>
      </c>
      <c r="CK71">
        <f t="shared" si="26"/>
        <v>3</v>
      </c>
    </row>
    <row r="72" spans="3:89">
      <c r="C72" t="str">
        <f t="shared" si="16"/>
        <v>K</v>
      </c>
      <c r="D72" t="s">
        <v>108</v>
      </c>
      <c r="E72" t="s">
        <v>390</v>
      </c>
      <c r="F72" t="s">
        <v>370</v>
      </c>
      <c r="G72" t="s">
        <v>316</v>
      </c>
      <c r="H72">
        <v>24</v>
      </c>
      <c r="I72" t="s">
        <v>106</v>
      </c>
      <c r="J72" s="222" t="s">
        <v>104</v>
      </c>
      <c r="K72" t="s">
        <v>47</v>
      </c>
      <c r="L72" t="s">
        <v>47</v>
      </c>
      <c r="M72" t="s">
        <v>224</v>
      </c>
      <c r="N72" s="222" t="s">
        <v>224</v>
      </c>
      <c r="O72">
        <v>4</v>
      </c>
      <c r="P72">
        <v>5</v>
      </c>
      <c r="Q72" s="222">
        <v>2</v>
      </c>
      <c r="R72">
        <v>4</v>
      </c>
      <c r="S72">
        <v>5</v>
      </c>
      <c r="T72" s="222">
        <v>4</v>
      </c>
      <c r="U72">
        <v>4</v>
      </c>
      <c r="V72">
        <v>5</v>
      </c>
      <c r="W72">
        <v>5</v>
      </c>
      <c r="X72">
        <v>5</v>
      </c>
      <c r="Y72">
        <v>2</v>
      </c>
      <c r="Z72">
        <v>2</v>
      </c>
      <c r="AA72" t="s">
        <v>41</v>
      </c>
      <c r="AB72" t="s">
        <v>41</v>
      </c>
      <c r="AC72" t="s">
        <v>41</v>
      </c>
      <c r="AD72" t="s">
        <v>41</v>
      </c>
      <c r="AE72" t="s">
        <v>41</v>
      </c>
      <c r="AF72" t="s">
        <v>41</v>
      </c>
      <c r="AG72" t="s">
        <v>41</v>
      </c>
      <c r="AH72" t="s">
        <v>41</v>
      </c>
      <c r="AI72">
        <v>5</v>
      </c>
      <c r="AJ72">
        <v>5</v>
      </c>
      <c r="AK72" t="s">
        <v>41</v>
      </c>
      <c r="AL72" t="s">
        <v>41</v>
      </c>
      <c r="AM72" t="s">
        <v>41</v>
      </c>
      <c r="AN72" t="s">
        <v>41</v>
      </c>
      <c r="AO72" t="s">
        <v>41</v>
      </c>
      <c r="AP72" t="s">
        <v>41</v>
      </c>
      <c r="AQ72" t="s">
        <v>41</v>
      </c>
      <c r="AR72" s="222" t="s">
        <v>41</v>
      </c>
      <c r="AS72" t="s">
        <v>2</v>
      </c>
      <c r="AT72">
        <v>10</v>
      </c>
      <c r="AU72" s="11">
        <v>0.53</v>
      </c>
      <c r="AV72" s="85" t="s">
        <v>41</v>
      </c>
      <c r="AW72" s="222">
        <v>0</v>
      </c>
      <c r="AX72" s="6">
        <f t="shared" si="17"/>
        <v>3.9166666666666665</v>
      </c>
      <c r="AY72" s="9" t="str">
        <f t="shared" si="18"/>
        <v>Minors</v>
      </c>
      <c r="AZ72" s="9">
        <f t="shared" si="19"/>
        <v>4.583333333333333</v>
      </c>
      <c r="BA72" s="9" t="str">
        <f t="shared" si="20"/>
        <v>Bench</v>
      </c>
      <c r="BB72" s="9">
        <f t="shared" si="21"/>
        <v>4.583333333333333</v>
      </c>
      <c r="BC72" s="9" t="str">
        <f t="shared" si="22"/>
        <v>Bench</v>
      </c>
      <c r="BD72" s="84">
        <f t="shared" si="23"/>
        <v>4</v>
      </c>
      <c r="BE72" s="83">
        <f t="shared" si="24"/>
        <v>0</v>
      </c>
      <c r="BF72" t="str">
        <f t="shared" si="25"/>
        <v/>
      </c>
      <c r="BG72" s="91">
        <f>IF(O72="-","-",VLOOKUP($E72,CTPit!$E$10:$AW$175,BG$9,FALSE)-O72)</f>
        <v>0</v>
      </c>
      <c r="BH72" s="91">
        <f>IF(P72="-","-",VLOOKUP($E72,CTPit!$E$10:$AW$175,BH$9,FALSE)-P72)</f>
        <v>0</v>
      </c>
      <c r="BI72" s="91">
        <f>IF(Q72="-","-",VLOOKUP($E72,CTPit!$E$10:$AW$175,BI$9,FALSE)-Q72)</f>
        <v>0</v>
      </c>
      <c r="BJ72" s="91">
        <f>IF(R72="-","-",VLOOKUP($E72,CTPit!$E$10:$AW$175,BJ$9,FALSE)-R72)</f>
        <v>0</v>
      </c>
      <c r="BK72" s="91">
        <f>IF(S72="-","-",VLOOKUP($E72,CTPit!$E$10:$AW$175,BK$9,FALSE)-S72)</f>
        <v>0</v>
      </c>
      <c r="BL72" s="91">
        <f>IF(T72="-","-",VLOOKUP($E72,CTPit!$E$10:$AW$175,BL$9,FALSE)-T72)</f>
        <v>-1</v>
      </c>
      <c r="BM72" s="91">
        <f>IF(U72="-","-",VLOOKUP($E72,CTPit!$E$10:$AW$175,BM$9,FALSE)-U72)</f>
        <v>1</v>
      </c>
      <c r="BN72" s="91">
        <f>IF(V72="-","-",VLOOKUP($E72,CTPit!$E$10:$AW$175,BN$9,FALSE)-V72)</f>
        <v>0</v>
      </c>
      <c r="BO72" s="91">
        <f>IF(W72="-","-",VLOOKUP($E72,CTPit!$E$10:$AW$175,BO$9,FALSE)-W72)</f>
        <v>0</v>
      </c>
      <c r="BP72" s="91">
        <f>IF(X72="-","-",VLOOKUP($E72,CTPit!$E$10:$AW$175,BP$9,FALSE)-X72)</f>
        <v>0</v>
      </c>
      <c r="BQ72" s="91">
        <f>IF(Y72="-","-",VLOOKUP($E72,CTPit!$E$10:$AW$175,BQ$9,FALSE)-Y72)</f>
        <v>0</v>
      </c>
      <c r="BR72" s="91">
        <f>IF(Z72="-","-",VLOOKUP($E72,CTPit!$E$10:$AW$175,BR$9,FALSE)-Z72)</f>
        <v>0</v>
      </c>
      <c r="BS72" s="91" t="str">
        <f>IF(AA72="-","-",VLOOKUP($E72,CTPit!$E$10:$AW$175,BS$9,FALSE)-AA72)</f>
        <v>-</v>
      </c>
      <c r="BT72" s="91" t="str">
        <f>IF(AB72="-","-",VLOOKUP($E72,CTPit!$E$10:$AW$175,BT$9,FALSE)-AB72)</f>
        <v>-</v>
      </c>
      <c r="BU72" s="91" t="str">
        <f>IF(AC72="-","-",VLOOKUP($E72,CTPit!$E$10:$AW$175,BU$9,FALSE)-AC72)</f>
        <v>-</v>
      </c>
      <c r="BV72" s="91" t="str">
        <f>IF(AD72="-","-",VLOOKUP($E72,CTPit!$E$10:$AW$175,BV$9,FALSE)-AD72)</f>
        <v>-</v>
      </c>
      <c r="BW72" s="91" t="str">
        <f>IF(AE72="-","-",VLOOKUP($E72,CTPit!$E$10:$AW$175,BW$9,FALSE)-AE72)</f>
        <v>-</v>
      </c>
      <c r="BX72" s="91" t="str">
        <f>IF(AF72="-","-",VLOOKUP($E72,CTPit!$E$10:$AW$175,BX$9,FALSE)-AF72)</f>
        <v>-</v>
      </c>
      <c r="BY72" s="91" t="str">
        <f>IF(AG72="-","-",VLOOKUP($E72,CTPit!$E$10:$AW$175,BY$9,FALSE)-AG72)</f>
        <v>-</v>
      </c>
      <c r="BZ72" s="91" t="str">
        <f>IF(AH72="-","-",VLOOKUP($E72,CTPit!$E$10:$AW$175,BZ$9,FALSE)-AH72)</f>
        <v>-</v>
      </c>
      <c r="CA72" s="91">
        <f>IF(AI72="-","-",VLOOKUP($E72,CTPit!$E$10:$AW$175,CA$9,FALSE)-AI72)</f>
        <v>0</v>
      </c>
      <c r="CB72" s="91">
        <f>IF(AJ72="-","-",VLOOKUP($E72,CTPit!$E$10:$AW$175,CB$9,FALSE)-AJ72)</f>
        <v>0</v>
      </c>
      <c r="CC72" s="91" t="str">
        <f>IF(AK72="-","-",VLOOKUP($E72,CTPit!$E$10:$AW$175,CC$9,FALSE)-AK72)</f>
        <v>-</v>
      </c>
      <c r="CD72" s="91" t="str">
        <f>IF(AL72="-","-",VLOOKUP($E72,CTPit!$E$10:$AW$175,CD$9,FALSE)-AL72)</f>
        <v>-</v>
      </c>
      <c r="CE72" s="91" t="str">
        <f>IF(AM72="-","-",VLOOKUP($E72,CTPit!$E$10:$AW$175,CE$9,FALSE)-AM72)</f>
        <v>-</v>
      </c>
      <c r="CF72" s="91" t="str">
        <f>IF(AN72="-","-",VLOOKUP($E72,CTPit!$E$10:$AW$175,CF$9,FALSE)-AN72)</f>
        <v>-</v>
      </c>
      <c r="CG72" s="91" t="str">
        <f>IF(AO72="-","-",VLOOKUP($E72,CTPit!$E$10:$AW$175,CG$9,FALSE)-AO72)</f>
        <v>-</v>
      </c>
      <c r="CH72" s="91" t="str">
        <f>IF(AP72="-","-",VLOOKUP($E72,CTPit!$E$10:$AW$175,CH$9,FALSE)-AP72)</f>
        <v>-</v>
      </c>
      <c r="CI72" s="91" t="str">
        <f>IF(AQ72="-","-",VLOOKUP($E72,CTPit!$E$10:$AW$175,CI$9,FALSE)-AQ72)</f>
        <v>-</v>
      </c>
      <c r="CJ72" s="91" t="str">
        <f>IF(AR72="-","-",VLOOKUP($E72,CTPit!$E$10:$AW$175,CJ$9,FALSE)-AR72)</f>
        <v>-</v>
      </c>
      <c r="CK72">
        <f t="shared" si="26"/>
        <v>0</v>
      </c>
    </row>
    <row r="73" spans="3:89">
      <c r="C73" t="str">
        <f t="shared" si="16"/>
        <v>K</v>
      </c>
      <c r="D73" t="s">
        <v>107</v>
      </c>
      <c r="E73" t="s">
        <v>417</v>
      </c>
      <c r="F73" t="s">
        <v>373</v>
      </c>
      <c r="G73" t="s">
        <v>210</v>
      </c>
      <c r="H73">
        <v>23</v>
      </c>
      <c r="I73" t="s">
        <v>104</v>
      </c>
      <c r="J73" s="222" t="s">
        <v>103</v>
      </c>
      <c r="K73" t="s">
        <v>47</v>
      </c>
      <c r="L73" t="s">
        <v>47</v>
      </c>
      <c r="M73" t="s">
        <v>226</v>
      </c>
      <c r="N73" s="222" t="s">
        <v>226</v>
      </c>
      <c r="O73">
        <v>6</v>
      </c>
      <c r="P73">
        <v>3</v>
      </c>
      <c r="Q73" s="222">
        <v>2</v>
      </c>
      <c r="R73">
        <v>6</v>
      </c>
      <c r="S73">
        <v>3</v>
      </c>
      <c r="T73" s="222">
        <v>3</v>
      </c>
      <c r="U73">
        <v>8</v>
      </c>
      <c r="V73">
        <v>8</v>
      </c>
      <c r="W73" t="s">
        <v>41</v>
      </c>
      <c r="X73" t="s">
        <v>41</v>
      </c>
      <c r="Y73" t="s">
        <v>41</v>
      </c>
      <c r="Z73" t="s">
        <v>41</v>
      </c>
      <c r="AA73">
        <v>5</v>
      </c>
      <c r="AB73">
        <v>5</v>
      </c>
      <c r="AC73" t="s">
        <v>41</v>
      </c>
      <c r="AD73" t="s">
        <v>41</v>
      </c>
      <c r="AE73" t="s">
        <v>41</v>
      </c>
      <c r="AF73" t="s">
        <v>41</v>
      </c>
      <c r="AG73" t="s">
        <v>41</v>
      </c>
      <c r="AH73" t="s">
        <v>41</v>
      </c>
      <c r="AI73" t="s">
        <v>41</v>
      </c>
      <c r="AJ73" t="s">
        <v>41</v>
      </c>
      <c r="AK73" t="s">
        <v>41</v>
      </c>
      <c r="AL73" t="s">
        <v>41</v>
      </c>
      <c r="AM73" t="s">
        <v>41</v>
      </c>
      <c r="AN73" t="s">
        <v>41</v>
      </c>
      <c r="AO73" t="s">
        <v>41</v>
      </c>
      <c r="AP73" t="s">
        <v>41</v>
      </c>
      <c r="AQ73" t="s">
        <v>41</v>
      </c>
      <c r="AR73" s="222" t="s">
        <v>41</v>
      </c>
      <c r="AS73" t="s">
        <v>5</v>
      </c>
      <c r="AT73">
        <v>5</v>
      </c>
      <c r="AU73" s="11">
        <v>0.44</v>
      </c>
      <c r="AV73" s="85" t="s">
        <v>41</v>
      </c>
      <c r="AW73" s="222">
        <v>0</v>
      </c>
      <c r="AX73" s="6">
        <f t="shared" si="17"/>
        <v>3.9166666666666665</v>
      </c>
      <c r="AY73" s="9" t="str">
        <f t="shared" si="18"/>
        <v>Minors</v>
      </c>
      <c r="AZ73" s="9">
        <f t="shared" si="19"/>
        <v>4.25</v>
      </c>
      <c r="BA73" s="9" t="str">
        <f t="shared" si="20"/>
        <v>Bench</v>
      </c>
      <c r="BB73" s="9">
        <f t="shared" si="21"/>
        <v>4.25</v>
      </c>
      <c r="BC73" s="9" t="str">
        <f t="shared" si="22"/>
        <v>Bench</v>
      </c>
      <c r="BD73" s="84">
        <f t="shared" si="23"/>
        <v>2</v>
      </c>
      <c r="BE73" s="83">
        <f t="shared" si="24"/>
        <v>1</v>
      </c>
      <c r="BF73" t="str">
        <f t="shared" si="25"/>
        <v/>
      </c>
      <c r="BG73" s="91">
        <f>IF(O73="-","-",VLOOKUP($E73,CTPit!$E$10:$AW$175,BG$9,FALSE)-O73)</f>
        <v>0</v>
      </c>
      <c r="BH73" s="91">
        <f>IF(P73="-","-",VLOOKUP($E73,CTPit!$E$10:$AW$175,BH$9,FALSE)-P73)</f>
        <v>0</v>
      </c>
      <c r="BI73" s="91">
        <f>IF(Q73="-","-",VLOOKUP($E73,CTPit!$E$10:$AW$175,BI$9,FALSE)-Q73)</f>
        <v>0</v>
      </c>
      <c r="BJ73" s="91">
        <f>IF(R73="-","-",VLOOKUP($E73,CTPit!$E$10:$AW$175,BJ$9,FALSE)-R73)</f>
        <v>0</v>
      </c>
      <c r="BK73" s="91">
        <f>IF(S73="-","-",VLOOKUP($E73,CTPit!$E$10:$AW$175,BK$9,FALSE)-S73)</f>
        <v>0</v>
      </c>
      <c r="BL73" s="91">
        <f>IF(T73="-","-",VLOOKUP($E73,CTPit!$E$10:$AW$175,BL$9,FALSE)-T73)</f>
        <v>0</v>
      </c>
      <c r="BM73" s="91">
        <f>IF(U73="-","-",VLOOKUP($E73,CTPit!$E$10:$AW$175,BM$9,FALSE)-U73)</f>
        <v>0</v>
      </c>
      <c r="BN73" s="91">
        <f>IF(V73="-","-",VLOOKUP($E73,CTPit!$E$10:$AW$175,BN$9,FALSE)-V73)</f>
        <v>0</v>
      </c>
      <c r="BO73" s="91" t="str">
        <f>IF(W73="-","-",VLOOKUP($E73,CTPit!$E$10:$AW$175,BO$9,FALSE)-W73)</f>
        <v>-</v>
      </c>
      <c r="BP73" s="91" t="str">
        <f>IF(X73="-","-",VLOOKUP($E73,CTPit!$E$10:$AW$175,BP$9,FALSE)-X73)</f>
        <v>-</v>
      </c>
      <c r="BQ73" s="91" t="str">
        <f>IF(Y73="-","-",VLOOKUP($E73,CTPit!$E$10:$AW$175,BQ$9,FALSE)-Y73)</f>
        <v>-</v>
      </c>
      <c r="BR73" s="91" t="str">
        <f>IF(Z73="-","-",VLOOKUP($E73,CTPit!$E$10:$AW$175,BR$9,FALSE)-Z73)</f>
        <v>-</v>
      </c>
      <c r="BS73" s="91">
        <f>IF(AA73="-","-",VLOOKUP($E73,CTPit!$E$10:$AW$175,BS$9,FALSE)-AA73)</f>
        <v>0</v>
      </c>
      <c r="BT73" s="91">
        <f>IF(AB73="-","-",VLOOKUP($E73,CTPit!$E$10:$AW$175,BT$9,FALSE)-AB73)</f>
        <v>0</v>
      </c>
      <c r="BU73" s="91" t="str">
        <f>IF(AC73="-","-",VLOOKUP($E73,CTPit!$E$10:$AW$175,BU$9,FALSE)-AC73)</f>
        <v>-</v>
      </c>
      <c r="BV73" s="91" t="str">
        <f>IF(AD73="-","-",VLOOKUP($E73,CTPit!$E$10:$AW$175,BV$9,FALSE)-AD73)</f>
        <v>-</v>
      </c>
      <c r="BW73" s="91" t="str">
        <f>IF(AE73="-","-",VLOOKUP($E73,CTPit!$E$10:$AW$175,BW$9,FALSE)-AE73)</f>
        <v>-</v>
      </c>
      <c r="BX73" s="91" t="str">
        <f>IF(AF73="-","-",VLOOKUP($E73,CTPit!$E$10:$AW$175,BX$9,FALSE)-AF73)</f>
        <v>-</v>
      </c>
      <c r="BY73" s="91" t="str">
        <f>IF(AG73="-","-",VLOOKUP($E73,CTPit!$E$10:$AW$175,BY$9,FALSE)-AG73)</f>
        <v>-</v>
      </c>
      <c r="BZ73" s="91" t="str">
        <f>IF(AH73="-","-",VLOOKUP($E73,CTPit!$E$10:$AW$175,BZ$9,FALSE)-AH73)</f>
        <v>-</v>
      </c>
      <c r="CA73" s="91" t="str">
        <f>IF(AI73="-","-",VLOOKUP($E73,CTPit!$E$10:$AW$175,CA$9,FALSE)-AI73)</f>
        <v>-</v>
      </c>
      <c r="CB73" s="91" t="str">
        <f>IF(AJ73="-","-",VLOOKUP($E73,CTPit!$E$10:$AW$175,CB$9,FALSE)-AJ73)</f>
        <v>-</v>
      </c>
      <c r="CC73" s="91" t="str">
        <f>IF(AK73="-","-",VLOOKUP($E73,CTPit!$E$10:$AW$175,CC$9,FALSE)-AK73)</f>
        <v>-</v>
      </c>
      <c r="CD73" s="91" t="str">
        <f>IF(AL73="-","-",VLOOKUP($E73,CTPit!$E$10:$AW$175,CD$9,FALSE)-AL73)</f>
        <v>-</v>
      </c>
      <c r="CE73" s="91" t="str">
        <f>IF(AM73="-","-",VLOOKUP($E73,CTPit!$E$10:$AW$175,CE$9,FALSE)-AM73)</f>
        <v>-</v>
      </c>
      <c r="CF73" s="91" t="str">
        <f>IF(AN73="-","-",VLOOKUP($E73,CTPit!$E$10:$AW$175,CF$9,FALSE)-AN73)</f>
        <v>-</v>
      </c>
      <c r="CG73" s="91" t="str">
        <f>IF(AO73="-","-",VLOOKUP($E73,CTPit!$E$10:$AW$175,CG$9,FALSE)-AO73)</f>
        <v>-</v>
      </c>
      <c r="CH73" s="91" t="str">
        <f>IF(AP73="-","-",VLOOKUP($E73,CTPit!$E$10:$AW$175,CH$9,FALSE)-AP73)</f>
        <v>-</v>
      </c>
      <c r="CI73" s="91" t="str">
        <f>IF(AQ73="-","-",VLOOKUP($E73,CTPit!$E$10:$AW$175,CI$9,FALSE)-AQ73)</f>
        <v>-</v>
      </c>
      <c r="CJ73" s="91" t="str">
        <f>IF(AR73="-","-",VLOOKUP($E73,CTPit!$E$10:$AW$175,CJ$9,FALSE)-AR73)</f>
        <v>-</v>
      </c>
      <c r="CK73">
        <f t="shared" si="26"/>
        <v>0</v>
      </c>
    </row>
    <row r="74" spans="3:89">
      <c r="C74" t="str">
        <f t="shared" si="16"/>
        <v>K</v>
      </c>
      <c r="D74" t="s">
        <v>107</v>
      </c>
      <c r="E74" t="s">
        <v>391</v>
      </c>
      <c r="F74" t="s">
        <v>372</v>
      </c>
      <c r="G74" t="s">
        <v>209</v>
      </c>
      <c r="H74">
        <v>24</v>
      </c>
      <c r="I74" t="s">
        <v>104</v>
      </c>
      <c r="J74" s="222" t="s">
        <v>104</v>
      </c>
      <c r="K74" t="s">
        <v>47</v>
      </c>
      <c r="L74" t="s">
        <v>47</v>
      </c>
      <c r="M74" t="s">
        <v>226</v>
      </c>
      <c r="N74" s="222" t="s">
        <v>226</v>
      </c>
      <c r="O74">
        <v>6</v>
      </c>
      <c r="P74">
        <v>3</v>
      </c>
      <c r="Q74" s="222">
        <v>2</v>
      </c>
      <c r="R74">
        <v>6</v>
      </c>
      <c r="S74">
        <v>3</v>
      </c>
      <c r="T74" s="222">
        <v>2</v>
      </c>
      <c r="U74">
        <v>6</v>
      </c>
      <c r="V74">
        <v>6</v>
      </c>
      <c r="W74">
        <v>3</v>
      </c>
      <c r="X74">
        <v>4</v>
      </c>
      <c r="Y74" t="s">
        <v>41</v>
      </c>
      <c r="Z74" t="s">
        <v>41</v>
      </c>
      <c r="AA74" t="s">
        <v>41</v>
      </c>
      <c r="AB74" t="s">
        <v>41</v>
      </c>
      <c r="AC74" t="s">
        <v>41</v>
      </c>
      <c r="AD74" t="s">
        <v>41</v>
      </c>
      <c r="AE74" t="s">
        <v>41</v>
      </c>
      <c r="AF74" t="s">
        <v>41</v>
      </c>
      <c r="AG74">
        <v>6</v>
      </c>
      <c r="AH74">
        <v>6</v>
      </c>
      <c r="AI74" t="s">
        <v>41</v>
      </c>
      <c r="AJ74" t="s">
        <v>41</v>
      </c>
      <c r="AK74" t="s">
        <v>41</v>
      </c>
      <c r="AL74" t="s">
        <v>41</v>
      </c>
      <c r="AM74" t="s">
        <v>41</v>
      </c>
      <c r="AN74" t="s">
        <v>41</v>
      </c>
      <c r="AO74" t="s">
        <v>41</v>
      </c>
      <c r="AP74" t="s">
        <v>41</v>
      </c>
      <c r="AQ74" t="s">
        <v>41</v>
      </c>
      <c r="AR74" s="222" t="s">
        <v>41</v>
      </c>
      <c r="AS74" t="s">
        <v>14</v>
      </c>
      <c r="AT74">
        <v>7</v>
      </c>
      <c r="AU74" s="11">
        <v>0.35</v>
      </c>
      <c r="AV74" s="85" t="s">
        <v>41</v>
      </c>
      <c r="AW74" s="222">
        <v>0</v>
      </c>
      <c r="AX74" s="6">
        <f t="shared" si="17"/>
        <v>3.9166666666666665</v>
      </c>
      <c r="AY74" s="9" t="str">
        <f t="shared" si="18"/>
        <v>Minors</v>
      </c>
      <c r="AZ74" s="9">
        <f t="shared" si="19"/>
        <v>3.9166666666666665</v>
      </c>
      <c r="BA74" s="9" t="str">
        <f t="shared" si="20"/>
        <v>Minors</v>
      </c>
      <c r="BB74" s="9">
        <f t="shared" si="21"/>
        <v>3.9166666666666665</v>
      </c>
      <c r="BC74" s="9" t="str">
        <f t="shared" si="22"/>
        <v>Minors</v>
      </c>
      <c r="BD74" s="84">
        <f t="shared" si="23"/>
        <v>3</v>
      </c>
      <c r="BE74" s="83">
        <f t="shared" si="24"/>
        <v>2</v>
      </c>
      <c r="BF74" t="str">
        <f t="shared" si="25"/>
        <v/>
      </c>
      <c r="BG74" s="91" t="e">
        <f>IF(O74="-","-",VLOOKUP($E74,CTPit!$E$10:$AW$175,BG$9,FALSE)-O74)</f>
        <v>#N/A</v>
      </c>
      <c r="BH74" s="91" t="e">
        <f>IF(P74="-","-",VLOOKUP($E74,CTPit!$E$10:$AW$175,BH$9,FALSE)-P74)</f>
        <v>#N/A</v>
      </c>
      <c r="BI74" s="91" t="e">
        <f>IF(Q74="-","-",VLOOKUP($E74,CTPit!$E$10:$AW$175,BI$9,FALSE)-Q74)</f>
        <v>#N/A</v>
      </c>
      <c r="BJ74" s="91" t="e">
        <f>IF(R74="-","-",VLOOKUP($E74,CTPit!$E$10:$AW$175,BJ$9,FALSE)-R74)</f>
        <v>#N/A</v>
      </c>
      <c r="BK74" s="91" t="e">
        <f>IF(S74="-","-",VLOOKUP($E74,CTPit!$E$10:$AW$175,BK$9,FALSE)-S74)</f>
        <v>#N/A</v>
      </c>
      <c r="BL74" s="91" t="e">
        <f>IF(T74="-","-",VLOOKUP($E74,CTPit!$E$10:$AW$175,BL$9,FALSE)-T74)</f>
        <v>#N/A</v>
      </c>
      <c r="BM74" s="91" t="e">
        <f>IF(U74="-","-",VLOOKUP($E74,CTPit!$E$10:$AW$175,BM$9,FALSE)-U74)</f>
        <v>#N/A</v>
      </c>
      <c r="BN74" s="91" t="e">
        <f>IF(V74="-","-",VLOOKUP($E74,CTPit!$E$10:$AW$175,BN$9,FALSE)-V74)</f>
        <v>#N/A</v>
      </c>
      <c r="BO74" s="91" t="e">
        <f>IF(W74="-","-",VLOOKUP($E74,CTPit!$E$10:$AW$175,BO$9,FALSE)-W74)</f>
        <v>#N/A</v>
      </c>
      <c r="BP74" s="91" t="e">
        <f>IF(X74="-","-",VLOOKUP($E74,CTPit!$E$10:$AW$175,BP$9,FALSE)-X74)</f>
        <v>#N/A</v>
      </c>
      <c r="BQ74" s="91" t="str">
        <f>IF(Y74="-","-",VLOOKUP($E74,CTPit!$E$10:$AW$175,BQ$9,FALSE)-Y74)</f>
        <v>-</v>
      </c>
      <c r="BR74" s="91" t="str">
        <f>IF(Z74="-","-",VLOOKUP($E74,CTPit!$E$10:$AW$175,BR$9,FALSE)-Z74)</f>
        <v>-</v>
      </c>
      <c r="BS74" s="91" t="str">
        <f>IF(AA74="-","-",VLOOKUP($E74,CTPit!$E$10:$AW$175,BS$9,FALSE)-AA74)</f>
        <v>-</v>
      </c>
      <c r="BT74" s="91" t="str">
        <f>IF(AB74="-","-",VLOOKUP($E74,CTPit!$E$10:$AW$175,BT$9,FALSE)-AB74)</f>
        <v>-</v>
      </c>
      <c r="BU74" s="91" t="str">
        <f>IF(AC74="-","-",VLOOKUP($E74,CTPit!$E$10:$AW$175,BU$9,FALSE)-AC74)</f>
        <v>-</v>
      </c>
      <c r="BV74" s="91" t="str">
        <f>IF(AD74="-","-",VLOOKUP($E74,CTPit!$E$10:$AW$175,BV$9,FALSE)-AD74)</f>
        <v>-</v>
      </c>
      <c r="BW74" s="91" t="str">
        <f>IF(AE74="-","-",VLOOKUP($E74,CTPit!$E$10:$AW$175,BW$9,FALSE)-AE74)</f>
        <v>-</v>
      </c>
      <c r="BX74" s="91" t="str">
        <f>IF(AF74="-","-",VLOOKUP($E74,CTPit!$E$10:$AW$175,BX$9,FALSE)-AF74)</f>
        <v>-</v>
      </c>
      <c r="BY74" s="91" t="e">
        <f>IF(AG74="-","-",VLOOKUP($E74,CTPit!$E$10:$AW$175,BY$9,FALSE)-AG74)</f>
        <v>#N/A</v>
      </c>
      <c r="BZ74" s="91" t="e">
        <f>IF(AH74="-","-",VLOOKUP($E74,CTPit!$E$10:$AW$175,BZ$9,FALSE)-AH74)</f>
        <v>#N/A</v>
      </c>
      <c r="CA74" s="91" t="str">
        <f>IF(AI74="-","-",VLOOKUP($E74,CTPit!$E$10:$AW$175,CA$9,FALSE)-AI74)</f>
        <v>-</v>
      </c>
      <c r="CB74" s="91" t="str">
        <f>IF(AJ74="-","-",VLOOKUP($E74,CTPit!$E$10:$AW$175,CB$9,FALSE)-AJ74)</f>
        <v>-</v>
      </c>
      <c r="CC74" s="91" t="str">
        <f>IF(AK74="-","-",VLOOKUP($E74,CTPit!$E$10:$AW$175,CC$9,FALSE)-AK74)</f>
        <v>-</v>
      </c>
      <c r="CD74" s="91" t="str">
        <f>IF(AL74="-","-",VLOOKUP($E74,CTPit!$E$10:$AW$175,CD$9,FALSE)-AL74)</f>
        <v>-</v>
      </c>
      <c r="CE74" s="91" t="str">
        <f>IF(AM74="-","-",VLOOKUP($E74,CTPit!$E$10:$AW$175,CE$9,FALSE)-AM74)</f>
        <v>-</v>
      </c>
      <c r="CF74" s="91" t="str">
        <f>IF(AN74="-","-",VLOOKUP($E74,CTPit!$E$10:$AW$175,CF$9,FALSE)-AN74)</f>
        <v>-</v>
      </c>
      <c r="CG74" s="91" t="str">
        <f>IF(AO74="-","-",VLOOKUP($E74,CTPit!$E$10:$AW$175,CG$9,FALSE)-AO74)</f>
        <v>-</v>
      </c>
      <c r="CH74" s="91" t="str">
        <f>IF(AP74="-","-",VLOOKUP($E74,CTPit!$E$10:$AW$175,CH$9,FALSE)-AP74)</f>
        <v>-</v>
      </c>
      <c r="CI74" s="91" t="str">
        <f>IF(AQ74="-","-",VLOOKUP($E74,CTPit!$E$10:$AW$175,CI$9,FALSE)-AQ74)</f>
        <v>-</v>
      </c>
      <c r="CJ74" s="91" t="str">
        <f>IF(AR74="-","-",VLOOKUP($E74,CTPit!$E$10:$AW$175,CJ$9,FALSE)-AR74)</f>
        <v>-</v>
      </c>
      <c r="CK74" t="e">
        <f t="shared" si="26"/>
        <v>#N/A</v>
      </c>
    </row>
    <row r="75" spans="3:89">
      <c r="C75" t="str">
        <f t="shared" ref="C75:C84" si="27">IF(OR(M75&gt;7,AND(M75&gt;4,N75&gt;5)),"K","T")</f>
        <v>K</v>
      </c>
      <c r="D75" t="s">
        <v>108</v>
      </c>
      <c r="E75" t="s">
        <v>392</v>
      </c>
      <c r="F75" t="s">
        <v>373</v>
      </c>
      <c r="G75" t="s">
        <v>210</v>
      </c>
      <c r="H75">
        <v>24</v>
      </c>
      <c r="I75" t="s">
        <v>104</v>
      </c>
      <c r="J75" s="222" t="s">
        <v>103</v>
      </c>
      <c r="K75" t="s">
        <v>47</v>
      </c>
      <c r="L75" t="s">
        <v>47</v>
      </c>
      <c r="M75" t="s">
        <v>223</v>
      </c>
      <c r="N75" s="222" t="s">
        <v>225</v>
      </c>
      <c r="O75">
        <v>4</v>
      </c>
      <c r="P75">
        <v>5</v>
      </c>
      <c r="Q75" s="222">
        <v>2</v>
      </c>
      <c r="R75">
        <v>4</v>
      </c>
      <c r="S75">
        <v>5</v>
      </c>
      <c r="T75" s="222">
        <v>2</v>
      </c>
      <c r="U75">
        <v>5</v>
      </c>
      <c r="V75">
        <v>5</v>
      </c>
      <c r="W75">
        <v>3</v>
      </c>
      <c r="X75">
        <v>4</v>
      </c>
      <c r="Y75">
        <v>4</v>
      </c>
      <c r="Z75">
        <v>4</v>
      </c>
      <c r="AA75">
        <v>3</v>
      </c>
      <c r="AB75">
        <v>3</v>
      </c>
      <c r="AC75" t="s">
        <v>41</v>
      </c>
      <c r="AD75" t="s">
        <v>41</v>
      </c>
      <c r="AE75" t="s">
        <v>41</v>
      </c>
      <c r="AF75" t="s">
        <v>41</v>
      </c>
      <c r="AG75" t="s">
        <v>41</v>
      </c>
      <c r="AH75" t="s">
        <v>41</v>
      </c>
      <c r="AI75" t="s">
        <v>41</v>
      </c>
      <c r="AJ75" t="s">
        <v>41</v>
      </c>
      <c r="AK75" t="s">
        <v>41</v>
      </c>
      <c r="AL75" t="s">
        <v>41</v>
      </c>
      <c r="AM75" t="s">
        <v>41</v>
      </c>
      <c r="AN75" t="s">
        <v>41</v>
      </c>
      <c r="AO75" t="s">
        <v>41</v>
      </c>
      <c r="AP75" t="s">
        <v>41</v>
      </c>
      <c r="AQ75" t="s">
        <v>41</v>
      </c>
      <c r="AR75" s="222" t="s">
        <v>41</v>
      </c>
      <c r="AS75" t="s">
        <v>3</v>
      </c>
      <c r="AT75">
        <v>7</v>
      </c>
      <c r="AU75" s="11">
        <v>0.49</v>
      </c>
      <c r="AV75" s="85" t="s">
        <v>41</v>
      </c>
      <c r="AW75" s="222">
        <v>0</v>
      </c>
      <c r="AX75" s="6">
        <f t="shared" ref="AX75:AX84" si="28">AVERAGE(O75:Q75)+0.25*MAX(0,(COUNT(U75,W75,Y75,AA75,AC75,AE75,AG75,AI75,AK75,AM75,AO75,AQ75)-3))+IF(AU75&gt;0.55,0.25,0)+IF(MAX(U75,W75,Y75,AA75,AC75,AE75,AG75,AI75,AK75,AM75,AO75,AQ75)&gt;5,0.25,0)</f>
        <v>3.9166666666666665</v>
      </c>
      <c r="AY75" s="9" t="str">
        <f t="shared" ref="AY75:AY84" si="29">IF(AX75&gt;9,"SuperStar",IF(AX75&gt;8,"Star",IF(AX75&gt;6.5,"GoodReg",IF(AX75&gt;5,"Reg",IF(AX75&gt;4,"Bench","Minors")))))</f>
        <v>Minors</v>
      </c>
      <c r="AZ75" s="9">
        <f t="shared" ref="AZ75:AZ84" si="30">AVERAGE(R75:T75)+0.25*MAX(0,(COUNT(V75,X75,Z75,AB75,AD75,AF75,AH75,AJ75,AL75,AN75,AP75,AR75)-3))+IF(AU75&gt;0.55,0.25,0)+IF(MAX(V75,X75,Z75,AB75,AD75,AF75,AH75,AJ75,AL75,AN75,AP75,AR75)&gt;5,0.25,0)</f>
        <v>3.9166666666666665</v>
      </c>
      <c r="BA75" s="9" t="str">
        <f t="shared" ref="BA75:BA84" si="31">IF(AZ75&gt;9,"SuperStar",IF(AZ75&gt;8,"Star",IF(AZ75&gt;6.5,"GoodReg",IF(AZ75&gt;5,"Reg",IF(AZ75&gt;4,"Bench","Minors")))))</f>
        <v>Minors</v>
      </c>
      <c r="BB75" s="9">
        <f t="shared" ref="BB75:BB84" si="32">MIN(AX75+(MAX(0,25-S75))^1.5,AZ75)</f>
        <v>3.9166666666666665</v>
      </c>
      <c r="BC75" s="9" t="str">
        <f t="shared" ref="BC75:BC84" si="33">IF(BB75&gt;9,"SuperStar",IF(BB75&gt;8,"Star",IF(BB75&gt;6.5,"GoodReg",IF(BB75&gt;5,"Reg",IF(BB75&gt;4,"Bench","Minors")))))</f>
        <v>Minors</v>
      </c>
      <c r="BD75" s="84">
        <f t="shared" ref="BD75:BD84" si="34">COUNT(U75:AR75)/2</f>
        <v>4</v>
      </c>
      <c r="BE75" s="83">
        <f t="shared" ref="BE75:BE84" si="35">COUNTIF(U75:AR75,"&gt;5")/2</f>
        <v>0</v>
      </c>
      <c r="BF75" t="str">
        <f t="shared" ref="BF75:BF84" si="36">IF(AW75=1,"Yes","")</f>
        <v/>
      </c>
      <c r="BG75" s="91" t="e">
        <f>IF(O75="-","-",VLOOKUP($E75,CTPit!$E$10:$AW$175,BG$9,FALSE)-O75)</f>
        <v>#N/A</v>
      </c>
      <c r="BH75" s="91" t="e">
        <f>IF(P75="-","-",VLOOKUP($E75,CTPit!$E$10:$AW$175,BH$9,FALSE)-P75)</f>
        <v>#N/A</v>
      </c>
      <c r="BI75" s="91" t="e">
        <f>IF(Q75="-","-",VLOOKUP($E75,CTPit!$E$10:$AW$175,BI$9,FALSE)-Q75)</f>
        <v>#N/A</v>
      </c>
      <c r="BJ75" s="91" t="e">
        <f>IF(R75="-","-",VLOOKUP($E75,CTPit!$E$10:$AW$175,BJ$9,FALSE)-R75)</f>
        <v>#N/A</v>
      </c>
      <c r="BK75" s="91" t="e">
        <f>IF(S75="-","-",VLOOKUP($E75,CTPit!$E$10:$AW$175,BK$9,FALSE)-S75)</f>
        <v>#N/A</v>
      </c>
      <c r="BL75" s="91" t="e">
        <f>IF(T75="-","-",VLOOKUP($E75,CTPit!$E$10:$AW$175,BL$9,FALSE)-T75)</f>
        <v>#N/A</v>
      </c>
      <c r="BM75" s="91" t="e">
        <f>IF(U75="-","-",VLOOKUP($E75,CTPit!$E$10:$AW$175,BM$9,FALSE)-U75)</f>
        <v>#N/A</v>
      </c>
      <c r="BN75" s="91" t="e">
        <f>IF(V75="-","-",VLOOKUP($E75,CTPit!$E$10:$AW$175,BN$9,FALSE)-V75)</f>
        <v>#N/A</v>
      </c>
      <c r="BO75" s="91" t="e">
        <f>IF(W75="-","-",VLOOKUP($E75,CTPit!$E$10:$AW$175,BO$9,FALSE)-W75)</f>
        <v>#N/A</v>
      </c>
      <c r="BP75" s="91" t="e">
        <f>IF(X75="-","-",VLOOKUP($E75,CTPit!$E$10:$AW$175,BP$9,FALSE)-X75)</f>
        <v>#N/A</v>
      </c>
      <c r="BQ75" s="91" t="e">
        <f>IF(Y75="-","-",VLOOKUP($E75,CTPit!$E$10:$AW$175,BQ$9,FALSE)-Y75)</f>
        <v>#N/A</v>
      </c>
      <c r="BR75" s="91" t="e">
        <f>IF(Z75="-","-",VLOOKUP($E75,CTPit!$E$10:$AW$175,BR$9,FALSE)-Z75)</f>
        <v>#N/A</v>
      </c>
      <c r="BS75" s="91" t="e">
        <f>IF(AA75="-","-",VLOOKUP($E75,CTPit!$E$10:$AW$175,BS$9,FALSE)-AA75)</f>
        <v>#N/A</v>
      </c>
      <c r="BT75" s="91" t="e">
        <f>IF(AB75="-","-",VLOOKUP($E75,CTPit!$E$10:$AW$175,BT$9,FALSE)-AB75)</f>
        <v>#N/A</v>
      </c>
      <c r="BU75" s="91" t="str">
        <f>IF(AC75="-","-",VLOOKUP($E75,CTPit!$E$10:$AW$175,BU$9,FALSE)-AC75)</f>
        <v>-</v>
      </c>
      <c r="BV75" s="91" t="str">
        <f>IF(AD75="-","-",VLOOKUP($E75,CTPit!$E$10:$AW$175,BV$9,FALSE)-AD75)</f>
        <v>-</v>
      </c>
      <c r="BW75" s="91" t="str">
        <f>IF(AE75="-","-",VLOOKUP($E75,CTPit!$E$10:$AW$175,BW$9,FALSE)-AE75)</f>
        <v>-</v>
      </c>
      <c r="BX75" s="91" t="str">
        <f>IF(AF75="-","-",VLOOKUP($E75,CTPit!$E$10:$AW$175,BX$9,FALSE)-AF75)</f>
        <v>-</v>
      </c>
      <c r="BY75" s="91" t="str">
        <f>IF(AG75="-","-",VLOOKUP($E75,CTPit!$E$10:$AW$175,BY$9,FALSE)-AG75)</f>
        <v>-</v>
      </c>
      <c r="BZ75" s="91" t="str">
        <f>IF(AH75="-","-",VLOOKUP($E75,CTPit!$E$10:$AW$175,BZ$9,FALSE)-AH75)</f>
        <v>-</v>
      </c>
      <c r="CA75" s="91" t="str">
        <f>IF(AI75="-","-",VLOOKUP($E75,CTPit!$E$10:$AW$175,CA$9,FALSE)-AI75)</f>
        <v>-</v>
      </c>
      <c r="CB75" s="91" t="str">
        <f>IF(AJ75="-","-",VLOOKUP($E75,CTPit!$E$10:$AW$175,CB$9,FALSE)-AJ75)</f>
        <v>-</v>
      </c>
      <c r="CC75" s="91" t="str">
        <f>IF(AK75="-","-",VLOOKUP($E75,CTPit!$E$10:$AW$175,CC$9,FALSE)-AK75)</f>
        <v>-</v>
      </c>
      <c r="CD75" s="91" t="str">
        <f>IF(AL75="-","-",VLOOKUP($E75,CTPit!$E$10:$AW$175,CD$9,FALSE)-AL75)</f>
        <v>-</v>
      </c>
      <c r="CE75" s="91" t="str">
        <f>IF(AM75="-","-",VLOOKUP($E75,CTPit!$E$10:$AW$175,CE$9,FALSE)-AM75)</f>
        <v>-</v>
      </c>
      <c r="CF75" s="91" t="str">
        <f>IF(AN75="-","-",VLOOKUP($E75,CTPit!$E$10:$AW$175,CF$9,FALSE)-AN75)</f>
        <v>-</v>
      </c>
      <c r="CG75" s="91" t="str">
        <f>IF(AO75="-","-",VLOOKUP($E75,CTPit!$E$10:$AW$175,CG$9,FALSE)-AO75)</f>
        <v>-</v>
      </c>
      <c r="CH75" s="91" t="str">
        <f>IF(AP75="-","-",VLOOKUP($E75,CTPit!$E$10:$AW$175,CH$9,FALSE)-AP75)</f>
        <v>-</v>
      </c>
      <c r="CI75" s="91" t="str">
        <f>IF(AQ75="-","-",VLOOKUP($E75,CTPit!$E$10:$AW$175,CI$9,FALSE)-AQ75)</f>
        <v>-</v>
      </c>
      <c r="CJ75" s="91" t="str">
        <f>IF(AR75="-","-",VLOOKUP($E75,CTPit!$E$10:$AW$175,CJ$9,FALSE)-AR75)</f>
        <v>-</v>
      </c>
      <c r="CK75" t="e">
        <f t="shared" ref="CK75:CK84" si="37">SUM(BG75:CJ75)</f>
        <v>#N/A</v>
      </c>
    </row>
    <row r="76" spans="3:89">
      <c r="C76" t="str">
        <f t="shared" si="27"/>
        <v>K</v>
      </c>
      <c r="D76" t="s">
        <v>107</v>
      </c>
      <c r="E76" t="s">
        <v>398</v>
      </c>
      <c r="F76" t="s">
        <v>370</v>
      </c>
      <c r="G76" t="s">
        <v>316</v>
      </c>
      <c r="H76">
        <v>21</v>
      </c>
      <c r="I76" t="s">
        <v>104</v>
      </c>
      <c r="J76" s="222" t="s">
        <v>103</v>
      </c>
      <c r="K76" t="s">
        <v>47</v>
      </c>
      <c r="L76" t="s">
        <v>47</v>
      </c>
      <c r="M76" t="s">
        <v>226</v>
      </c>
      <c r="N76" s="222" t="s">
        <v>225</v>
      </c>
      <c r="O76">
        <v>5</v>
      </c>
      <c r="P76">
        <v>4</v>
      </c>
      <c r="Q76" s="222">
        <v>2</v>
      </c>
      <c r="R76">
        <v>5</v>
      </c>
      <c r="S76">
        <v>4</v>
      </c>
      <c r="T76" s="222">
        <v>2</v>
      </c>
      <c r="U76">
        <v>7</v>
      </c>
      <c r="V76">
        <v>7</v>
      </c>
      <c r="W76" t="s">
        <v>41</v>
      </c>
      <c r="X76" t="s">
        <v>41</v>
      </c>
      <c r="Y76" t="s">
        <v>41</v>
      </c>
      <c r="Z76" t="s">
        <v>41</v>
      </c>
      <c r="AA76">
        <v>5</v>
      </c>
      <c r="AB76">
        <v>5</v>
      </c>
      <c r="AC76" t="s">
        <v>41</v>
      </c>
      <c r="AD76" t="s">
        <v>41</v>
      </c>
      <c r="AE76" t="s">
        <v>41</v>
      </c>
      <c r="AF76" t="s">
        <v>41</v>
      </c>
      <c r="AG76" t="s">
        <v>41</v>
      </c>
      <c r="AH76" t="s">
        <v>41</v>
      </c>
      <c r="AI76" t="s">
        <v>41</v>
      </c>
      <c r="AJ76" t="s">
        <v>41</v>
      </c>
      <c r="AK76" t="s">
        <v>41</v>
      </c>
      <c r="AL76" t="s">
        <v>41</v>
      </c>
      <c r="AM76" t="s">
        <v>41</v>
      </c>
      <c r="AN76" t="s">
        <v>41</v>
      </c>
      <c r="AO76" t="s">
        <v>41</v>
      </c>
      <c r="AP76" t="s">
        <v>41</v>
      </c>
      <c r="AQ76" t="s">
        <v>41</v>
      </c>
      <c r="AR76" s="222" t="s">
        <v>41</v>
      </c>
      <c r="AS76" t="s">
        <v>11</v>
      </c>
      <c r="AT76">
        <v>3</v>
      </c>
      <c r="AU76" s="11">
        <v>0.54</v>
      </c>
      <c r="AV76" s="85" t="s">
        <v>41</v>
      </c>
      <c r="AW76" s="222">
        <v>0</v>
      </c>
      <c r="AX76" s="6">
        <f t="shared" si="28"/>
        <v>3.9166666666666665</v>
      </c>
      <c r="AY76" s="9" t="str">
        <f t="shared" si="29"/>
        <v>Minors</v>
      </c>
      <c r="AZ76" s="9">
        <f t="shared" si="30"/>
        <v>3.9166666666666665</v>
      </c>
      <c r="BA76" s="9" t="str">
        <f t="shared" si="31"/>
        <v>Minors</v>
      </c>
      <c r="BB76" s="9">
        <f t="shared" si="32"/>
        <v>3.9166666666666665</v>
      </c>
      <c r="BC76" s="9" t="str">
        <f t="shared" si="33"/>
        <v>Minors</v>
      </c>
      <c r="BD76" s="84">
        <f t="shared" si="34"/>
        <v>2</v>
      </c>
      <c r="BE76" s="83">
        <f t="shared" si="35"/>
        <v>1</v>
      </c>
      <c r="BF76" t="str">
        <f t="shared" si="36"/>
        <v/>
      </c>
      <c r="BG76" s="91" t="e">
        <f>IF(O76="-","-",VLOOKUP($E76,CTPit!$E$10:$AW$175,BG$9,FALSE)-O76)</f>
        <v>#N/A</v>
      </c>
      <c r="BH76" s="91" t="e">
        <f>IF(P76="-","-",VLOOKUP($E76,CTPit!$E$10:$AW$175,BH$9,FALSE)-P76)</f>
        <v>#N/A</v>
      </c>
      <c r="BI76" s="91" t="e">
        <f>IF(Q76="-","-",VLOOKUP($E76,CTPit!$E$10:$AW$175,BI$9,FALSE)-Q76)</f>
        <v>#N/A</v>
      </c>
      <c r="BJ76" s="91" t="e">
        <f>IF(R76="-","-",VLOOKUP($E76,CTPit!$E$10:$AW$175,BJ$9,FALSE)-R76)</f>
        <v>#N/A</v>
      </c>
      <c r="BK76" s="91" t="e">
        <f>IF(S76="-","-",VLOOKUP($E76,CTPit!$E$10:$AW$175,BK$9,FALSE)-S76)</f>
        <v>#N/A</v>
      </c>
      <c r="BL76" s="91" t="e">
        <f>IF(T76="-","-",VLOOKUP($E76,CTPit!$E$10:$AW$175,BL$9,FALSE)-T76)</f>
        <v>#N/A</v>
      </c>
      <c r="BM76" s="91" t="e">
        <f>IF(U76="-","-",VLOOKUP($E76,CTPit!$E$10:$AW$175,BM$9,FALSE)-U76)</f>
        <v>#N/A</v>
      </c>
      <c r="BN76" s="91" t="e">
        <f>IF(V76="-","-",VLOOKUP($E76,CTPit!$E$10:$AW$175,BN$9,FALSE)-V76)</f>
        <v>#N/A</v>
      </c>
      <c r="BO76" s="91" t="str">
        <f>IF(W76="-","-",VLOOKUP($E76,CTPit!$E$10:$AW$175,BO$9,FALSE)-W76)</f>
        <v>-</v>
      </c>
      <c r="BP76" s="91" t="str">
        <f>IF(X76="-","-",VLOOKUP($E76,CTPit!$E$10:$AW$175,BP$9,FALSE)-X76)</f>
        <v>-</v>
      </c>
      <c r="BQ76" s="91" t="str">
        <f>IF(Y76="-","-",VLOOKUP($E76,CTPit!$E$10:$AW$175,BQ$9,FALSE)-Y76)</f>
        <v>-</v>
      </c>
      <c r="BR76" s="91" t="str">
        <f>IF(Z76="-","-",VLOOKUP($E76,CTPit!$E$10:$AW$175,BR$9,FALSE)-Z76)</f>
        <v>-</v>
      </c>
      <c r="BS76" s="91" t="e">
        <f>IF(AA76="-","-",VLOOKUP($E76,CTPit!$E$10:$AW$175,BS$9,FALSE)-AA76)</f>
        <v>#N/A</v>
      </c>
      <c r="BT76" s="91" t="e">
        <f>IF(AB76="-","-",VLOOKUP($E76,CTPit!$E$10:$AW$175,BT$9,FALSE)-AB76)</f>
        <v>#N/A</v>
      </c>
      <c r="BU76" s="91" t="str">
        <f>IF(AC76="-","-",VLOOKUP($E76,CTPit!$E$10:$AW$175,BU$9,FALSE)-AC76)</f>
        <v>-</v>
      </c>
      <c r="BV76" s="91" t="str">
        <f>IF(AD76="-","-",VLOOKUP($E76,CTPit!$E$10:$AW$175,BV$9,FALSE)-AD76)</f>
        <v>-</v>
      </c>
      <c r="BW76" s="91" t="str">
        <f>IF(AE76="-","-",VLOOKUP($E76,CTPit!$E$10:$AW$175,BW$9,FALSE)-AE76)</f>
        <v>-</v>
      </c>
      <c r="BX76" s="91" t="str">
        <f>IF(AF76="-","-",VLOOKUP($E76,CTPit!$E$10:$AW$175,BX$9,FALSE)-AF76)</f>
        <v>-</v>
      </c>
      <c r="BY76" s="91" t="str">
        <f>IF(AG76="-","-",VLOOKUP($E76,CTPit!$E$10:$AW$175,BY$9,FALSE)-AG76)</f>
        <v>-</v>
      </c>
      <c r="BZ76" s="91" t="str">
        <f>IF(AH76="-","-",VLOOKUP($E76,CTPit!$E$10:$AW$175,BZ$9,FALSE)-AH76)</f>
        <v>-</v>
      </c>
      <c r="CA76" s="91" t="str">
        <f>IF(AI76="-","-",VLOOKUP($E76,CTPit!$E$10:$AW$175,CA$9,FALSE)-AI76)</f>
        <v>-</v>
      </c>
      <c r="CB76" s="91" t="str">
        <f>IF(AJ76="-","-",VLOOKUP($E76,CTPit!$E$10:$AW$175,CB$9,FALSE)-AJ76)</f>
        <v>-</v>
      </c>
      <c r="CC76" s="91" t="str">
        <f>IF(AK76="-","-",VLOOKUP($E76,CTPit!$E$10:$AW$175,CC$9,FALSE)-AK76)</f>
        <v>-</v>
      </c>
      <c r="CD76" s="91" t="str">
        <f>IF(AL76="-","-",VLOOKUP($E76,CTPit!$E$10:$AW$175,CD$9,FALSE)-AL76)</f>
        <v>-</v>
      </c>
      <c r="CE76" s="91" t="str">
        <f>IF(AM76="-","-",VLOOKUP($E76,CTPit!$E$10:$AW$175,CE$9,FALSE)-AM76)</f>
        <v>-</v>
      </c>
      <c r="CF76" s="91" t="str">
        <f>IF(AN76="-","-",VLOOKUP($E76,CTPit!$E$10:$AW$175,CF$9,FALSE)-AN76)</f>
        <v>-</v>
      </c>
      <c r="CG76" s="91" t="str">
        <f>IF(AO76="-","-",VLOOKUP($E76,CTPit!$E$10:$AW$175,CG$9,FALSE)-AO76)</f>
        <v>-</v>
      </c>
      <c r="CH76" s="91" t="str">
        <f>IF(AP76="-","-",VLOOKUP($E76,CTPit!$E$10:$AW$175,CH$9,FALSE)-AP76)</f>
        <v>-</v>
      </c>
      <c r="CI76" s="91" t="str">
        <f>IF(AQ76="-","-",VLOOKUP($E76,CTPit!$E$10:$AW$175,CI$9,FALSE)-AQ76)</f>
        <v>-</v>
      </c>
      <c r="CJ76" s="91" t="str">
        <f>IF(AR76="-","-",VLOOKUP($E76,CTPit!$E$10:$AW$175,CJ$9,FALSE)-AR76)</f>
        <v>-</v>
      </c>
      <c r="CK76" t="e">
        <f t="shared" si="37"/>
        <v>#N/A</v>
      </c>
    </row>
    <row r="77" spans="3:89">
      <c r="C77" t="str">
        <f t="shared" si="27"/>
        <v>K</v>
      </c>
      <c r="D77" t="s">
        <v>108</v>
      </c>
      <c r="E77" t="s">
        <v>481</v>
      </c>
      <c r="F77" t="s">
        <v>370</v>
      </c>
      <c r="G77" t="s">
        <v>316</v>
      </c>
      <c r="H77" s="269">
        <v>22</v>
      </c>
      <c r="I77" t="s">
        <v>103</v>
      </c>
      <c r="J77" t="s">
        <v>103</v>
      </c>
      <c r="K77" t="s">
        <v>47</v>
      </c>
      <c r="L77" s="269" t="s">
        <v>47</v>
      </c>
      <c r="M77" t="s">
        <v>224</v>
      </c>
      <c r="N77" t="s">
        <v>225</v>
      </c>
      <c r="O77" s="269">
        <v>5</v>
      </c>
      <c r="P77">
        <v>3</v>
      </c>
      <c r="Q77">
        <v>2</v>
      </c>
      <c r="R77" s="269">
        <v>5</v>
      </c>
      <c r="S77">
        <v>3</v>
      </c>
      <c r="T77">
        <v>3</v>
      </c>
      <c r="U77">
        <v>6</v>
      </c>
      <c r="V77">
        <v>6</v>
      </c>
      <c r="W77">
        <v>5</v>
      </c>
      <c r="X77">
        <v>6</v>
      </c>
      <c r="Y77" t="s">
        <v>41</v>
      </c>
      <c r="Z77" t="s">
        <v>41</v>
      </c>
      <c r="AA77">
        <v>5</v>
      </c>
      <c r="AB77">
        <v>6</v>
      </c>
      <c r="AC77" t="s">
        <v>41</v>
      </c>
      <c r="AD77" t="s">
        <v>41</v>
      </c>
      <c r="AE77" t="s">
        <v>41</v>
      </c>
      <c r="AF77" t="s">
        <v>41</v>
      </c>
      <c r="AG77" t="s">
        <v>41</v>
      </c>
      <c r="AH77" t="s">
        <v>41</v>
      </c>
      <c r="AI77">
        <v>4</v>
      </c>
      <c r="AJ77">
        <v>4</v>
      </c>
      <c r="AK77" t="s">
        <v>41</v>
      </c>
      <c r="AL77" t="s">
        <v>41</v>
      </c>
      <c r="AM77" t="s">
        <v>41</v>
      </c>
      <c r="AN77" t="s">
        <v>41</v>
      </c>
      <c r="AO77" t="s">
        <v>41</v>
      </c>
      <c r="AP77" s="269" t="s">
        <v>41</v>
      </c>
      <c r="AQ77" t="s">
        <v>41</v>
      </c>
      <c r="AR77" t="s">
        <v>41</v>
      </c>
      <c r="AS77" s="269" t="s">
        <v>3</v>
      </c>
      <c r="AT77">
        <v>8</v>
      </c>
      <c r="AU77" s="11">
        <v>0.42</v>
      </c>
      <c r="AV77" s="85" t="s">
        <v>41</v>
      </c>
      <c r="AW77" s="268">
        <v>0</v>
      </c>
      <c r="AX77" s="6">
        <f t="shared" si="28"/>
        <v>3.8333333333333335</v>
      </c>
      <c r="AY77" s="9" t="str">
        <f t="shared" si="29"/>
        <v>Minors</v>
      </c>
      <c r="AZ77" s="9">
        <f t="shared" si="30"/>
        <v>4.1666666666666661</v>
      </c>
      <c r="BA77" s="9" t="str">
        <f t="shared" si="31"/>
        <v>Bench</v>
      </c>
      <c r="BB77" s="9">
        <f t="shared" si="32"/>
        <v>4.1666666666666661</v>
      </c>
      <c r="BC77" s="9" t="str">
        <f t="shared" si="33"/>
        <v>Bench</v>
      </c>
      <c r="BD77" s="84">
        <f t="shared" si="34"/>
        <v>4</v>
      </c>
      <c r="BE77" s="83">
        <f t="shared" si="35"/>
        <v>2</v>
      </c>
      <c r="BF77" t="str">
        <f t="shared" si="36"/>
        <v/>
      </c>
      <c r="BG77" s="91" t="e">
        <f>IF(O77="-","-",VLOOKUP($E77,CTPit!$E$10:$AW$175,BG$9,FALSE)-O77)</f>
        <v>#N/A</v>
      </c>
      <c r="BH77" s="91" t="e">
        <f>IF(P77="-","-",VLOOKUP($E77,CTPit!$E$10:$AW$175,BH$9,FALSE)-P77)</f>
        <v>#N/A</v>
      </c>
      <c r="BI77" s="91" t="e">
        <f>IF(Q77="-","-",VLOOKUP($E77,CTPit!$E$10:$AW$175,BI$9,FALSE)-Q77)</f>
        <v>#N/A</v>
      </c>
      <c r="BJ77" s="91" t="e">
        <f>IF(R77="-","-",VLOOKUP($E77,CTPit!$E$10:$AW$175,BJ$9,FALSE)-R77)</f>
        <v>#N/A</v>
      </c>
      <c r="BK77" s="91" t="e">
        <f>IF(S77="-","-",VLOOKUP($E77,CTPit!$E$10:$AW$175,BK$9,FALSE)-S77)</f>
        <v>#N/A</v>
      </c>
      <c r="BL77" s="91" t="e">
        <f>IF(T77="-","-",VLOOKUP($E77,CTPit!$E$10:$AW$175,BL$9,FALSE)-T77)</f>
        <v>#N/A</v>
      </c>
      <c r="BM77" s="91" t="e">
        <f>IF(U77="-","-",VLOOKUP($E77,CTPit!$E$10:$AW$175,BM$9,FALSE)-U77)</f>
        <v>#N/A</v>
      </c>
      <c r="BN77" s="91" t="e">
        <f>IF(V77="-","-",VLOOKUP($E77,CTPit!$E$10:$AW$175,BN$9,FALSE)-V77)</f>
        <v>#N/A</v>
      </c>
      <c r="BO77" s="91" t="e">
        <f>IF(W77="-","-",VLOOKUP($E77,CTPit!$E$10:$AW$175,BO$9,FALSE)-W77)</f>
        <v>#N/A</v>
      </c>
      <c r="BP77" s="91" t="e">
        <f>IF(X77="-","-",VLOOKUP($E77,CTPit!$E$10:$AW$175,BP$9,FALSE)-X77)</f>
        <v>#N/A</v>
      </c>
      <c r="BQ77" s="91" t="str">
        <f>IF(Y77="-","-",VLOOKUP($E77,CTPit!$E$10:$AW$175,BQ$9,FALSE)-Y77)</f>
        <v>-</v>
      </c>
      <c r="BR77" s="91" t="str">
        <f>IF(Z77="-","-",VLOOKUP($E77,CTPit!$E$10:$AW$175,BR$9,FALSE)-Z77)</f>
        <v>-</v>
      </c>
      <c r="BS77" s="91" t="e">
        <f>IF(AA77="-","-",VLOOKUP($E77,CTPit!$E$10:$AW$175,BS$9,FALSE)-AA77)</f>
        <v>#N/A</v>
      </c>
      <c r="BT77" s="91" t="e">
        <f>IF(AB77="-","-",VLOOKUP($E77,CTPit!$E$10:$AW$175,BT$9,FALSE)-AB77)</f>
        <v>#N/A</v>
      </c>
      <c r="BU77" s="91" t="str">
        <f>IF(AC77="-","-",VLOOKUP($E77,CTPit!$E$10:$AW$175,BU$9,FALSE)-AC77)</f>
        <v>-</v>
      </c>
      <c r="BV77" s="91" t="str">
        <f>IF(AD77="-","-",VLOOKUP($E77,CTPit!$E$10:$AW$175,BV$9,FALSE)-AD77)</f>
        <v>-</v>
      </c>
      <c r="BW77" s="91" t="str">
        <f>IF(AE77="-","-",VLOOKUP($E77,CTPit!$E$10:$AW$175,BW$9,FALSE)-AE77)</f>
        <v>-</v>
      </c>
      <c r="BX77" s="91" t="str">
        <f>IF(AF77="-","-",VLOOKUP($E77,CTPit!$E$10:$AW$175,BX$9,FALSE)-AF77)</f>
        <v>-</v>
      </c>
      <c r="BY77" s="91" t="str">
        <f>IF(AG77="-","-",VLOOKUP($E77,CTPit!$E$10:$AW$175,BY$9,FALSE)-AG77)</f>
        <v>-</v>
      </c>
      <c r="BZ77" s="91" t="str">
        <f>IF(AH77="-","-",VLOOKUP($E77,CTPit!$E$10:$AW$175,BZ$9,FALSE)-AH77)</f>
        <v>-</v>
      </c>
      <c r="CA77" s="91" t="e">
        <f>IF(AI77="-","-",VLOOKUP($E77,CTPit!$E$10:$AW$175,CA$9,FALSE)-AI77)</f>
        <v>#N/A</v>
      </c>
      <c r="CB77" s="91" t="e">
        <f>IF(AJ77="-","-",VLOOKUP($E77,CTPit!$E$10:$AW$175,CB$9,FALSE)-AJ77)</f>
        <v>#N/A</v>
      </c>
      <c r="CC77" s="91" t="str">
        <f>IF(AK77="-","-",VLOOKUP($E77,CTPit!$E$10:$AW$175,CC$9,FALSE)-AK77)</f>
        <v>-</v>
      </c>
      <c r="CD77" s="91" t="str">
        <f>IF(AL77="-","-",VLOOKUP($E77,CTPit!$E$10:$AW$175,CD$9,FALSE)-AL77)</f>
        <v>-</v>
      </c>
      <c r="CE77" s="91" t="str">
        <f>IF(AM77="-","-",VLOOKUP($E77,CTPit!$E$10:$AW$175,CE$9,FALSE)-AM77)</f>
        <v>-</v>
      </c>
      <c r="CF77" s="91" t="str">
        <f>IF(AN77="-","-",VLOOKUP($E77,CTPit!$E$10:$AW$175,CF$9,FALSE)-AN77)</f>
        <v>-</v>
      </c>
      <c r="CG77" s="91" t="str">
        <f>IF(AO77="-","-",VLOOKUP($E77,CTPit!$E$10:$AW$175,CG$9,FALSE)-AO77)</f>
        <v>-</v>
      </c>
      <c r="CH77" s="91" t="str">
        <f>IF(AP77="-","-",VLOOKUP($E77,CTPit!$E$10:$AW$175,CH$9,FALSE)-AP77)</f>
        <v>-</v>
      </c>
      <c r="CI77" s="91" t="str">
        <f>IF(AQ77="-","-",VLOOKUP($E77,CTPit!$E$10:$AW$175,CI$9,FALSE)-AQ77)</f>
        <v>-</v>
      </c>
      <c r="CJ77" s="91" t="str">
        <f>IF(AR77="-","-",VLOOKUP($E77,CTPit!$E$10:$AW$175,CJ$9,FALSE)-AR77)</f>
        <v>-</v>
      </c>
      <c r="CK77" t="e">
        <f t="shared" si="37"/>
        <v>#N/A</v>
      </c>
    </row>
    <row r="78" spans="3:89">
      <c r="C78" t="str">
        <f t="shared" si="27"/>
        <v>K</v>
      </c>
      <c r="D78" t="s">
        <v>109</v>
      </c>
      <c r="E78" t="s">
        <v>532</v>
      </c>
      <c r="F78" t="s">
        <v>370</v>
      </c>
      <c r="G78" t="s">
        <v>316</v>
      </c>
      <c r="H78" s="269">
        <v>21</v>
      </c>
      <c r="I78" t="s">
        <v>103</v>
      </c>
      <c r="J78" t="s">
        <v>103</v>
      </c>
      <c r="K78" t="s">
        <v>47</v>
      </c>
      <c r="L78" s="269" t="s">
        <v>42</v>
      </c>
      <c r="M78" t="s">
        <v>227</v>
      </c>
      <c r="N78" t="s">
        <v>223</v>
      </c>
      <c r="O78" s="269">
        <v>3</v>
      </c>
      <c r="P78">
        <v>6</v>
      </c>
      <c r="Q78">
        <v>2</v>
      </c>
      <c r="R78" s="269">
        <v>3</v>
      </c>
      <c r="S78">
        <v>7</v>
      </c>
      <c r="T78">
        <v>5</v>
      </c>
      <c r="U78">
        <v>4</v>
      </c>
      <c r="V78">
        <v>5</v>
      </c>
      <c r="W78">
        <v>2</v>
      </c>
      <c r="X78">
        <v>3</v>
      </c>
      <c r="Y78">
        <v>2</v>
      </c>
      <c r="Z78">
        <v>2</v>
      </c>
      <c r="AA78" t="s">
        <v>41</v>
      </c>
      <c r="AB78" t="s">
        <v>41</v>
      </c>
      <c r="AC78" t="s">
        <v>41</v>
      </c>
      <c r="AD78" t="s">
        <v>41</v>
      </c>
      <c r="AE78" t="s">
        <v>41</v>
      </c>
      <c r="AF78" t="s">
        <v>41</v>
      </c>
      <c r="AG78" t="s">
        <v>41</v>
      </c>
      <c r="AH78" t="s">
        <v>41</v>
      </c>
      <c r="AI78" t="s">
        <v>41</v>
      </c>
      <c r="AJ78" t="s">
        <v>41</v>
      </c>
      <c r="AK78" t="s">
        <v>41</v>
      </c>
      <c r="AL78" t="s">
        <v>41</v>
      </c>
      <c r="AM78" t="s">
        <v>41</v>
      </c>
      <c r="AN78" t="s">
        <v>41</v>
      </c>
      <c r="AO78" t="s">
        <v>41</v>
      </c>
      <c r="AP78" s="269" t="s">
        <v>41</v>
      </c>
      <c r="AQ78" t="s">
        <v>41</v>
      </c>
      <c r="AR78" t="s">
        <v>41</v>
      </c>
      <c r="AS78" s="269" t="s">
        <v>1</v>
      </c>
      <c r="AT78">
        <v>2</v>
      </c>
      <c r="AU78" s="11">
        <v>0.55000000000000004</v>
      </c>
      <c r="AV78" s="85" t="s">
        <v>41</v>
      </c>
      <c r="AW78" s="268">
        <v>0</v>
      </c>
      <c r="AX78" s="6">
        <f t="shared" si="28"/>
        <v>3.6666666666666665</v>
      </c>
      <c r="AY78" s="9" t="str">
        <f t="shared" si="29"/>
        <v>Minors</v>
      </c>
      <c r="AZ78" s="9">
        <f t="shared" si="30"/>
        <v>5</v>
      </c>
      <c r="BA78" s="9" t="str">
        <f t="shared" si="31"/>
        <v>Bench</v>
      </c>
      <c r="BB78" s="9">
        <f t="shared" si="32"/>
        <v>5</v>
      </c>
      <c r="BC78" s="9" t="str">
        <f t="shared" si="33"/>
        <v>Bench</v>
      </c>
      <c r="BD78" s="84">
        <f t="shared" si="34"/>
        <v>3</v>
      </c>
      <c r="BE78" s="83">
        <f t="shared" si="35"/>
        <v>0</v>
      </c>
      <c r="BF78" t="str">
        <f t="shared" si="36"/>
        <v/>
      </c>
      <c r="BG78" s="91">
        <f>IF(O78="-","-",VLOOKUP($E78,CTPit!$E$10:$AW$175,BG$9,FALSE)-O78)</f>
        <v>1</v>
      </c>
      <c r="BH78" s="91">
        <f>IF(P78="-","-",VLOOKUP($E78,CTPit!$E$10:$AW$175,BH$9,FALSE)-P78)</f>
        <v>0</v>
      </c>
      <c r="BI78" s="91">
        <f>IF(Q78="-","-",VLOOKUP($E78,CTPit!$E$10:$AW$175,BI$9,FALSE)-Q78)</f>
        <v>0</v>
      </c>
      <c r="BJ78" s="91">
        <f>IF(R78="-","-",VLOOKUP($E78,CTPit!$E$10:$AW$175,BJ$9,FALSE)-R78)</f>
        <v>1</v>
      </c>
      <c r="BK78" s="91">
        <f>IF(S78="-","-",VLOOKUP($E78,CTPit!$E$10:$AW$175,BK$9,FALSE)-S78)</f>
        <v>-1</v>
      </c>
      <c r="BL78" s="91">
        <f>IF(T78="-","-",VLOOKUP($E78,CTPit!$E$10:$AW$175,BL$9,FALSE)-T78)</f>
        <v>-1</v>
      </c>
      <c r="BM78" s="91">
        <f>IF(U78="-","-",VLOOKUP($E78,CTPit!$E$10:$AW$175,BM$9,FALSE)-U78)</f>
        <v>1</v>
      </c>
      <c r="BN78" s="91">
        <f>IF(V78="-","-",VLOOKUP($E78,CTPit!$E$10:$AW$175,BN$9,FALSE)-V78)</f>
        <v>0</v>
      </c>
      <c r="BO78" s="91">
        <f>IF(W78="-","-",VLOOKUP($E78,CTPit!$E$10:$AW$175,BO$9,FALSE)-W78)</f>
        <v>1</v>
      </c>
      <c r="BP78" s="91">
        <f>IF(X78="-","-",VLOOKUP($E78,CTPit!$E$10:$AW$175,BP$9,FALSE)-X78)</f>
        <v>0</v>
      </c>
      <c r="BQ78" s="91">
        <f>IF(Y78="-","-",VLOOKUP($E78,CTPit!$E$10:$AW$175,BQ$9,FALSE)-Y78)</f>
        <v>0</v>
      </c>
      <c r="BR78" s="91">
        <f>IF(Z78="-","-",VLOOKUP($E78,CTPit!$E$10:$AW$175,BR$9,FALSE)-Z78)</f>
        <v>0</v>
      </c>
      <c r="BS78" s="91" t="str">
        <f>IF(AA78="-","-",VLOOKUP($E78,CTPit!$E$10:$AW$175,BS$9,FALSE)-AA78)</f>
        <v>-</v>
      </c>
      <c r="BT78" s="91" t="str">
        <f>IF(AB78="-","-",VLOOKUP($E78,CTPit!$E$10:$AW$175,BT$9,FALSE)-AB78)</f>
        <v>-</v>
      </c>
      <c r="BU78" s="91" t="str">
        <f>IF(AC78="-","-",VLOOKUP($E78,CTPit!$E$10:$AW$175,BU$9,FALSE)-AC78)</f>
        <v>-</v>
      </c>
      <c r="BV78" s="91" t="str">
        <f>IF(AD78="-","-",VLOOKUP($E78,CTPit!$E$10:$AW$175,BV$9,FALSE)-AD78)</f>
        <v>-</v>
      </c>
      <c r="BW78" s="91" t="str">
        <f>IF(AE78="-","-",VLOOKUP($E78,CTPit!$E$10:$AW$175,BW$9,FALSE)-AE78)</f>
        <v>-</v>
      </c>
      <c r="BX78" s="91" t="str">
        <f>IF(AF78="-","-",VLOOKUP($E78,CTPit!$E$10:$AW$175,BX$9,FALSE)-AF78)</f>
        <v>-</v>
      </c>
      <c r="BY78" s="91" t="str">
        <f>IF(AG78="-","-",VLOOKUP($E78,CTPit!$E$10:$AW$175,BY$9,FALSE)-AG78)</f>
        <v>-</v>
      </c>
      <c r="BZ78" s="91" t="str">
        <f>IF(AH78="-","-",VLOOKUP($E78,CTPit!$E$10:$AW$175,BZ$9,FALSE)-AH78)</f>
        <v>-</v>
      </c>
      <c r="CA78" s="91" t="str">
        <f>IF(AI78="-","-",VLOOKUP($E78,CTPit!$E$10:$AW$175,CA$9,FALSE)-AI78)</f>
        <v>-</v>
      </c>
      <c r="CB78" s="91" t="str">
        <f>IF(AJ78="-","-",VLOOKUP($E78,CTPit!$E$10:$AW$175,CB$9,FALSE)-AJ78)</f>
        <v>-</v>
      </c>
      <c r="CC78" s="91" t="str">
        <f>IF(AK78="-","-",VLOOKUP($E78,CTPit!$E$10:$AW$175,CC$9,FALSE)-AK78)</f>
        <v>-</v>
      </c>
      <c r="CD78" s="91" t="str">
        <f>IF(AL78="-","-",VLOOKUP($E78,CTPit!$E$10:$AW$175,CD$9,FALSE)-AL78)</f>
        <v>-</v>
      </c>
      <c r="CE78" s="91" t="str">
        <f>IF(AM78="-","-",VLOOKUP($E78,CTPit!$E$10:$AW$175,CE$9,FALSE)-AM78)</f>
        <v>-</v>
      </c>
      <c r="CF78" s="91" t="str">
        <f>IF(AN78="-","-",VLOOKUP($E78,CTPit!$E$10:$AW$175,CF$9,FALSE)-AN78)</f>
        <v>-</v>
      </c>
      <c r="CG78" s="91" t="str">
        <f>IF(AO78="-","-",VLOOKUP($E78,CTPit!$E$10:$AW$175,CG$9,FALSE)-AO78)</f>
        <v>-</v>
      </c>
      <c r="CH78" s="91" t="str">
        <f>IF(AP78="-","-",VLOOKUP($E78,CTPit!$E$10:$AW$175,CH$9,FALSE)-AP78)</f>
        <v>-</v>
      </c>
      <c r="CI78" s="91" t="str">
        <f>IF(AQ78="-","-",VLOOKUP($E78,CTPit!$E$10:$AW$175,CI$9,FALSE)-AQ78)</f>
        <v>-</v>
      </c>
      <c r="CJ78" s="91" t="str">
        <f>IF(AR78="-","-",VLOOKUP($E78,CTPit!$E$10:$AW$175,CJ$9,FALSE)-AR78)</f>
        <v>-</v>
      </c>
      <c r="CK78">
        <f t="shared" si="37"/>
        <v>2</v>
      </c>
    </row>
    <row r="79" spans="3:89">
      <c r="C79" t="str">
        <f t="shared" si="27"/>
        <v>K</v>
      </c>
      <c r="D79" t="s">
        <v>107</v>
      </c>
      <c r="E79" t="s">
        <v>396</v>
      </c>
      <c r="F79" t="s">
        <v>370</v>
      </c>
      <c r="G79" t="s">
        <v>316</v>
      </c>
      <c r="H79" s="269">
        <v>20</v>
      </c>
      <c r="I79" t="s">
        <v>106</v>
      </c>
      <c r="J79" t="s">
        <v>104</v>
      </c>
      <c r="K79" t="s">
        <v>47</v>
      </c>
      <c r="L79" s="269" t="s">
        <v>47</v>
      </c>
      <c r="M79" t="s">
        <v>223</v>
      </c>
      <c r="N79" t="s">
        <v>225</v>
      </c>
      <c r="O79" s="269">
        <v>3</v>
      </c>
      <c r="P79">
        <v>4</v>
      </c>
      <c r="Q79">
        <v>4</v>
      </c>
      <c r="R79" s="269">
        <v>3</v>
      </c>
      <c r="S79">
        <v>4</v>
      </c>
      <c r="T79">
        <v>4</v>
      </c>
      <c r="U79">
        <v>4</v>
      </c>
      <c r="V79">
        <v>4</v>
      </c>
      <c r="W79" t="s">
        <v>41</v>
      </c>
      <c r="X79" t="s">
        <v>41</v>
      </c>
      <c r="Y79">
        <v>3</v>
      </c>
      <c r="Z79">
        <v>3</v>
      </c>
      <c r="AA79" t="s">
        <v>41</v>
      </c>
      <c r="AB79" t="s">
        <v>41</v>
      </c>
      <c r="AC79" t="s">
        <v>41</v>
      </c>
      <c r="AD79" t="s">
        <v>41</v>
      </c>
      <c r="AE79" t="s">
        <v>41</v>
      </c>
      <c r="AF79" t="s">
        <v>41</v>
      </c>
      <c r="AG79" t="s">
        <v>41</v>
      </c>
      <c r="AH79" t="s">
        <v>41</v>
      </c>
      <c r="AI79" t="s">
        <v>41</v>
      </c>
      <c r="AJ79" t="s">
        <v>41</v>
      </c>
      <c r="AK79" t="s">
        <v>41</v>
      </c>
      <c r="AL79" t="s">
        <v>41</v>
      </c>
      <c r="AM79" t="s">
        <v>41</v>
      </c>
      <c r="AN79" t="s">
        <v>41</v>
      </c>
      <c r="AO79" t="s">
        <v>41</v>
      </c>
      <c r="AP79" s="269" t="s">
        <v>41</v>
      </c>
      <c r="AQ79" t="s">
        <v>41</v>
      </c>
      <c r="AR79" t="s">
        <v>41</v>
      </c>
      <c r="AS79" s="269" t="s">
        <v>6</v>
      </c>
      <c r="AT79">
        <v>5</v>
      </c>
      <c r="AU79" s="11">
        <v>0.44</v>
      </c>
      <c r="AV79" s="85" t="s">
        <v>41</v>
      </c>
      <c r="AW79" s="268">
        <v>0</v>
      </c>
      <c r="AX79" s="6">
        <f t="shared" si="28"/>
        <v>3.6666666666666665</v>
      </c>
      <c r="AY79" s="9" t="str">
        <f t="shared" si="29"/>
        <v>Minors</v>
      </c>
      <c r="AZ79" s="9">
        <f t="shared" si="30"/>
        <v>3.6666666666666665</v>
      </c>
      <c r="BA79" s="9" t="str">
        <f t="shared" si="31"/>
        <v>Minors</v>
      </c>
      <c r="BB79" s="9">
        <f t="shared" si="32"/>
        <v>3.6666666666666665</v>
      </c>
      <c r="BC79" s="9" t="str">
        <f t="shared" si="33"/>
        <v>Minors</v>
      </c>
      <c r="BD79" s="84">
        <f t="shared" si="34"/>
        <v>2</v>
      </c>
      <c r="BE79" s="83">
        <f t="shared" si="35"/>
        <v>0</v>
      </c>
      <c r="BF79" t="str">
        <f t="shared" si="36"/>
        <v/>
      </c>
      <c r="BG79" s="91" t="e">
        <f>IF(O79="-","-",VLOOKUP($E79,CTPit!$E$10:$AW$175,BG$9,FALSE)-O79)</f>
        <v>#N/A</v>
      </c>
      <c r="BH79" s="91" t="e">
        <f>IF(P79="-","-",VLOOKUP($E79,CTPit!$E$10:$AW$175,BH$9,FALSE)-P79)</f>
        <v>#N/A</v>
      </c>
      <c r="BI79" s="91" t="e">
        <f>IF(Q79="-","-",VLOOKUP($E79,CTPit!$E$10:$AW$175,BI$9,FALSE)-Q79)</f>
        <v>#N/A</v>
      </c>
      <c r="BJ79" s="91" t="e">
        <f>IF(R79="-","-",VLOOKUP($E79,CTPit!$E$10:$AW$175,BJ$9,FALSE)-R79)</f>
        <v>#N/A</v>
      </c>
      <c r="BK79" s="91" t="e">
        <f>IF(S79="-","-",VLOOKUP($E79,CTPit!$E$10:$AW$175,BK$9,FALSE)-S79)</f>
        <v>#N/A</v>
      </c>
      <c r="BL79" s="91" t="e">
        <f>IF(T79="-","-",VLOOKUP($E79,CTPit!$E$10:$AW$175,BL$9,FALSE)-T79)</f>
        <v>#N/A</v>
      </c>
      <c r="BM79" s="91" t="e">
        <f>IF(U79="-","-",VLOOKUP($E79,CTPit!$E$10:$AW$175,BM$9,FALSE)-U79)</f>
        <v>#N/A</v>
      </c>
      <c r="BN79" s="91" t="e">
        <f>IF(V79="-","-",VLOOKUP($E79,CTPit!$E$10:$AW$175,BN$9,FALSE)-V79)</f>
        <v>#N/A</v>
      </c>
      <c r="BO79" s="91" t="str">
        <f>IF(W79="-","-",VLOOKUP($E79,CTPit!$E$10:$AW$175,BO$9,FALSE)-W79)</f>
        <v>-</v>
      </c>
      <c r="BP79" s="91" t="str">
        <f>IF(X79="-","-",VLOOKUP($E79,CTPit!$E$10:$AW$175,BP$9,FALSE)-X79)</f>
        <v>-</v>
      </c>
      <c r="BQ79" s="91" t="e">
        <f>IF(Y79="-","-",VLOOKUP($E79,CTPit!$E$10:$AW$175,BQ$9,FALSE)-Y79)</f>
        <v>#N/A</v>
      </c>
      <c r="BR79" s="91" t="e">
        <f>IF(Z79="-","-",VLOOKUP($E79,CTPit!$E$10:$AW$175,BR$9,FALSE)-Z79)</f>
        <v>#N/A</v>
      </c>
      <c r="BS79" s="91" t="str">
        <f>IF(AA79="-","-",VLOOKUP($E79,CTPit!$E$10:$AW$175,BS$9,FALSE)-AA79)</f>
        <v>-</v>
      </c>
      <c r="BT79" s="91" t="str">
        <f>IF(AB79="-","-",VLOOKUP($E79,CTPit!$E$10:$AW$175,BT$9,FALSE)-AB79)</f>
        <v>-</v>
      </c>
      <c r="BU79" s="91" t="str">
        <f>IF(AC79="-","-",VLOOKUP($E79,CTPit!$E$10:$AW$175,BU$9,FALSE)-AC79)</f>
        <v>-</v>
      </c>
      <c r="BV79" s="91" t="str">
        <f>IF(AD79="-","-",VLOOKUP($E79,CTPit!$E$10:$AW$175,BV$9,FALSE)-AD79)</f>
        <v>-</v>
      </c>
      <c r="BW79" s="91" t="str">
        <f>IF(AE79="-","-",VLOOKUP($E79,CTPit!$E$10:$AW$175,BW$9,FALSE)-AE79)</f>
        <v>-</v>
      </c>
      <c r="BX79" s="91" t="str">
        <f>IF(AF79="-","-",VLOOKUP($E79,CTPit!$E$10:$AW$175,BX$9,FALSE)-AF79)</f>
        <v>-</v>
      </c>
      <c r="BY79" s="91" t="str">
        <f>IF(AG79="-","-",VLOOKUP($E79,CTPit!$E$10:$AW$175,BY$9,FALSE)-AG79)</f>
        <v>-</v>
      </c>
      <c r="BZ79" s="91" t="str">
        <f>IF(AH79="-","-",VLOOKUP($E79,CTPit!$E$10:$AW$175,BZ$9,FALSE)-AH79)</f>
        <v>-</v>
      </c>
      <c r="CA79" s="91" t="str">
        <f>IF(AI79="-","-",VLOOKUP($E79,CTPit!$E$10:$AW$175,CA$9,FALSE)-AI79)</f>
        <v>-</v>
      </c>
      <c r="CB79" s="91" t="str">
        <f>IF(AJ79="-","-",VLOOKUP($E79,CTPit!$E$10:$AW$175,CB$9,FALSE)-AJ79)</f>
        <v>-</v>
      </c>
      <c r="CC79" s="91" t="str">
        <f>IF(AK79="-","-",VLOOKUP($E79,CTPit!$E$10:$AW$175,CC$9,FALSE)-AK79)</f>
        <v>-</v>
      </c>
      <c r="CD79" s="91" t="str">
        <f>IF(AL79="-","-",VLOOKUP($E79,CTPit!$E$10:$AW$175,CD$9,FALSE)-AL79)</f>
        <v>-</v>
      </c>
      <c r="CE79" s="91" t="str">
        <f>IF(AM79="-","-",VLOOKUP($E79,CTPit!$E$10:$AW$175,CE$9,FALSE)-AM79)</f>
        <v>-</v>
      </c>
      <c r="CF79" s="91" t="str">
        <f>IF(AN79="-","-",VLOOKUP($E79,CTPit!$E$10:$AW$175,CF$9,FALSE)-AN79)</f>
        <v>-</v>
      </c>
      <c r="CG79" s="91" t="str">
        <f>IF(AO79="-","-",VLOOKUP($E79,CTPit!$E$10:$AW$175,CG$9,FALSE)-AO79)</f>
        <v>-</v>
      </c>
      <c r="CH79" s="91" t="str">
        <f>IF(AP79="-","-",VLOOKUP($E79,CTPit!$E$10:$AW$175,CH$9,FALSE)-AP79)</f>
        <v>-</v>
      </c>
      <c r="CI79" s="91" t="str">
        <f>IF(AQ79="-","-",VLOOKUP($E79,CTPit!$E$10:$AW$175,CI$9,FALSE)-AQ79)</f>
        <v>-</v>
      </c>
      <c r="CJ79" s="91" t="str">
        <f>IF(AR79="-","-",VLOOKUP($E79,CTPit!$E$10:$AW$175,CJ$9,FALSE)-AR79)</f>
        <v>-</v>
      </c>
      <c r="CK79" t="e">
        <f t="shared" si="37"/>
        <v>#N/A</v>
      </c>
    </row>
    <row r="80" spans="3:89">
      <c r="C80" t="str">
        <f t="shared" si="27"/>
        <v>K</v>
      </c>
      <c r="D80" t="s">
        <v>107</v>
      </c>
      <c r="E80" t="s">
        <v>446</v>
      </c>
      <c r="F80" t="s">
        <v>370</v>
      </c>
      <c r="G80" t="s">
        <v>316</v>
      </c>
      <c r="H80" s="269">
        <v>21</v>
      </c>
      <c r="I80" t="s">
        <v>106</v>
      </c>
      <c r="J80" t="s">
        <v>104</v>
      </c>
      <c r="K80" t="s">
        <v>47</v>
      </c>
      <c r="L80" s="269" t="s">
        <v>47</v>
      </c>
      <c r="M80" t="s">
        <v>224</v>
      </c>
      <c r="N80" t="s">
        <v>226</v>
      </c>
      <c r="O80" s="269">
        <v>4</v>
      </c>
      <c r="P80">
        <v>4</v>
      </c>
      <c r="Q80">
        <v>3</v>
      </c>
      <c r="R80" s="269">
        <v>4</v>
      </c>
      <c r="S80">
        <v>4</v>
      </c>
      <c r="T80">
        <v>3</v>
      </c>
      <c r="U80">
        <v>5</v>
      </c>
      <c r="V80">
        <v>5</v>
      </c>
      <c r="W80">
        <v>4</v>
      </c>
      <c r="X80">
        <v>4</v>
      </c>
      <c r="Y80">
        <v>4</v>
      </c>
      <c r="Z80">
        <v>4</v>
      </c>
      <c r="AA80" t="s">
        <v>41</v>
      </c>
      <c r="AB80" t="s">
        <v>41</v>
      </c>
      <c r="AC80" t="s">
        <v>41</v>
      </c>
      <c r="AD80" t="s">
        <v>41</v>
      </c>
      <c r="AE80" t="s">
        <v>41</v>
      </c>
      <c r="AF80" t="s">
        <v>41</v>
      </c>
      <c r="AG80" t="s">
        <v>41</v>
      </c>
      <c r="AH80" t="s">
        <v>41</v>
      </c>
      <c r="AI80" t="s">
        <v>41</v>
      </c>
      <c r="AJ80" t="s">
        <v>41</v>
      </c>
      <c r="AK80" t="s">
        <v>41</v>
      </c>
      <c r="AL80" t="s">
        <v>41</v>
      </c>
      <c r="AM80" t="s">
        <v>41</v>
      </c>
      <c r="AN80" t="s">
        <v>41</v>
      </c>
      <c r="AO80" t="s">
        <v>41</v>
      </c>
      <c r="AP80" s="269" t="s">
        <v>41</v>
      </c>
      <c r="AQ80" t="s">
        <v>41</v>
      </c>
      <c r="AR80" t="s">
        <v>41</v>
      </c>
      <c r="AS80" s="269" t="s">
        <v>11</v>
      </c>
      <c r="AT80">
        <v>8</v>
      </c>
      <c r="AU80" s="11">
        <v>0.48</v>
      </c>
      <c r="AV80" s="85" t="s">
        <v>41</v>
      </c>
      <c r="AW80" s="268" t="s">
        <v>45</v>
      </c>
      <c r="AX80" s="6">
        <f t="shared" si="28"/>
        <v>3.6666666666666665</v>
      </c>
      <c r="AY80" s="9" t="str">
        <f t="shared" si="29"/>
        <v>Minors</v>
      </c>
      <c r="AZ80" s="9">
        <f t="shared" si="30"/>
        <v>3.6666666666666665</v>
      </c>
      <c r="BA80" s="9" t="str">
        <f t="shared" si="31"/>
        <v>Minors</v>
      </c>
      <c r="BB80" s="9">
        <f t="shared" si="32"/>
        <v>3.6666666666666665</v>
      </c>
      <c r="BC80" s="9" t="str">
        <f t="shared" si="33"/>
        <v>Minors</v>
      </c>
      <c r="BD80" s="84">
        <f t="shared" si="34"/>
        <v>3</v>
      </c>
      <c r="BE80" s="83">
        <f t="shared" si="35"/>
        <v>0</v>
      </c>
      <c r="BF80" t="str">
        <f t="shared" si="36"/>
        <v/>
      </c>
      <c r="BG80" s="91" t="e">
        <f>IF(O80="-","-",VLOOKUP($E80,CTPit!$E$10:$AW$175,BG$9,FALSE)-O80)</f>
        <v>#N/A</v>
      </c>
      <c r="BH80" s="91" t="e">
        <f>IF(P80="-","-",VLOOKUP($E80,CTPit!$E$10:$AW$175,BH$9,FALSE)-P80)</f>
        <v>#N/A</v>
      </c>
      <c r="BI80" s="91" t="e">
        <f>IF(Q80="-","-",VLOOKUP($E80,CTPit!$E$10:$AW$175,BI$9,FALSE)-Q80)</f>
        <v>#N/A</v>
      </c>
      <c r="BJ80" s="91" t="e">
        <f>IF(R80="-","-",VLOOKUP($E80,CTPit!$E$10:$AW$175,BJ$9,FALSE)-R80)</f>
        <v>#N/A</v>
      </c>
      <c r="BK80" s="91" t="e">
        <f>IF(S80="-","-",VLOOKUP($E80,CTPit!$E$10:$AW$175,BK$9,FALSE)-S80)</f>
        <v>#N/A</v>
      </c>
      <c r="BL80" s="91" t="e">
        <f>IF(T80="-","-",VLOOKUP($E80,CTPit!$E$10:$AW$175,BL$9,FALSE)-T80)</f>
        <v>#N/A</v>
      </c>
      <c r="BM80" s="91" t="e">
        <f>IF(U80="-","-",VLOOKUP($E80,CTPit!$E$10:$AW$175,BM$9,FALSE)-U80)</f>
        <v>#N/A</v>
      </c>
      <c r="BN80" s="91" t="e">
        <f>IF(V80="-","-",VLOOKUP($E80,CTPit!$E$10:$AW$175,BN$9,FALSE)-V80)</f>
        <v>#N/A</v>
      </c>
      <c r="BO80" s="91" t="e">
        <f>IF(W80="-","-",VLOOKUP($E80,CTPit!$E$10:$AW$175,BO$9,FALSE)-W80)</f>
        <v>#N/A</v>
      </c>
      <c r="BP80" s="91" t="e">
        <f>IF(X80="-","-",VLOOKUP($E80,CTPit!$E$10:$AW$175,BP$9,FALSE)-X80)</f>
        <v>#N/A</v>
      </c>
      <c r="BQ80" s="91" t="e">
        <f>IF(Y80="-","-",VLOOKUP($E80,CTPit!$E$10:$AW$175,BQ$9,FALSE)-Y80)</f>
        <v>#N/A</v>
      </c>
      <c r="BR80" s="91" t="e">
        <f>IF(Z80="-","-",VLOOKUP($E80,CTPit!$E$10:$AW$175,BR$9,FALSE)-Z80)</f>
        <v>#N/A</v>
      </c>
      <c r="BS80" s="91" t="str">
        <f>IF(AA80="-","-",VLOOKUP($E80,CTPit!$E$10:$AW$175,BS$9,FALSE)-AA80)</f>
        <v>-</v>
      </c>
      <c r="BT80" s="91" t="str">
        <f>IF(AB80="-","-",VLOOKUP($E80,CTPit!$E$10:$AW$175,BT$9,FALSE)-AB80)</f>
        <v>-</v>
      </c>
      <c r="BU80" s="91" t="str">
        <f>IF(AC80="-","-",VLOOKUP($E80,CTPit!$E$10:$AW$175,BU$9,FALSE)-AC80)</f>
        <v>-</v>
      </c>
      <c r="BV80" s="91" t="str">
        <f>IF(AD80="-","-",VLOOKUP($E80,CTPit!$E$10:$AW$175,BV$9,FALSE)-AD80)</f>
        <v>-</v>
      </c>
      <c r="BW80" s="91" t="str">
        <f>IF(AE80="-","-",VLOOKUP($E80,CTPit!$E$10:$AW$175,BW$9,FALSE)-AE80)</f>
        <v>-</v>
      </c>
      <c r="BX80" s="91" t="str">
        <f>IF(AF80="-","-",VLOOKUP($E80,CTPit!$E$10:$AW$175,BX$9,FALSE)-AF80)</f>
        <v>-</v>
      </c>
      <c r="BY80" s="91" t="str">
        <f>IF(AG80="-","-",VLOOKUP($E80,CTPit!$E$10:$AW$175,BY$9,FALSE)-AG80)</f>
        <v>-</v>
      </c>
      <c r="BZ80" s="91" t="str">
        <f>IF(AH80="-","-",VLOOKUP($E80,CTPit!$E$10:$AW$175,BZ$9,FALSE)-AH80)</f>
        <v>-</v>
      </c>
      <c r="CA80" s="91" t="str">
        <f>IF(AI80="-","-",VLOOKUP($E80,CTPit!$E$10:$AW$175,CA$9,FALSE)-AI80)</f>
        <v>-</v>
      </c>
      <c r="CB80" s="91" t="str">
        <f>IF(AJ80="-","-",VLOOKUP($E80,CTPit!$E$10:$AW$175,CB$9,FALSE)-AJ80)</f>
        <v>-</v>
      </c>
      <c r="CC80" s="91" t="str">
        <f>IF(AK80="-","-",VLOOKUP($E80,CTPit!$E$10:$AW$175,CC$9,FALSE)-AK80)</f>
        <v>-</v>
      </c>
      <c r="CD80" s="91" t="str">
        <f>IF(AL80="-","-",VLOOKUP($E80,CTPit!$E$10:$AW$175,CD$9,FALSE)-AL80)</f>
        <v>-</v>
      </c>
      <c r="CE80" s="91" t="str">
        <f>IF(AM80="-","-",VLOOKUP($E80,CTPit!$E$10:$AW$175,CE$9,FALSE)-AM80)</f>
        <v>-</v>
      </c>
      <c r="CF80" s="91" t="str">
        <f>IF(AN80="-","-",VLOOKUP($E80,CTPit!$E$10:$AW$175,CF$9,FALSE)-AN80)</f>
        <v>-</v>
      </c>
      <c r="CG80" s="91" t="str">
        <f>IF(AO80="-","-",VLOOKUP($E80,CTPit!$E$10:$AW$175,CG$9,FALSE)-AO80)</f>
        <v>-</v>
      </c>
      <c r="CH80" s="91" t="str">
        <f>IF(AP80="-","-",VLOOKUP($E80,CTPit!$E$10:$AW$175,CH$9,FALSE)-AP80)</f>
        <v>-</v>
      </c>
      <c r="CI80" s="91" t="str">
        <f>IF(AQ80="-","-",VLOOKUP($E80,CTPit!$E$10:$AW$175,CI$9,FALSE)-AQ80)</f>
        <v>-</v>
      </c>
      <c r="CJ80" s="91" t="str">
        <f>IF(AR80="-","-",VLOOKUP($E80,CTPit!$E$10:$AW$175,CJ$9,FALSE)-AR80)</f>
        <v>-</v>
      </c>
      <c r="CK80" t="e">
        <f t="shared" si="37"/>
        <v>#N/A</v>
      </c>
    </row>
    <row r="81" spans="3:89">
      <c r="C81" t="str">
        <f t="shared" si="27"/>
        <v>K</v>
      </c>
      <c r="D81" t="s">
        <v>108</v>
      </c>
      <c r="E81" t="s">
        <v>394</v>
      </c>
      <c r="F81" t="s">
        <v>370</v>
      </c>
      <c r="G81" t="s">
        <v>316</v>
      </c>
      <c r="H81" s="269">
        <v>21</v>
      </c>
      <c r="I81" t="s">
        <v>104</v>
      </c>
      <c r="J81" t="s">
        <v>104</v>
      </c>
      <c r="K81" t="s">
        <v>47</v>
      </c>
      <c r="L81" s="269" t="s">
        <v>47</v>
      </c>
      <c r="M81" t="s">
        <v>227</v>
      </c>
      <c r="N81" t="s">
        <v>223</v>
      </c>
      <c r="O81" s="269">
        <v>3</v>
      </c>
      <c r="P81">
        <v>3</v>
      </c>
      <c r="Q81">
        <v>4</v>
      </c>
      <c r="R81" s="269">
        <v>3</v>
      </c>
      <c r="S81">
        <v>4</v>
      </c>
      <c r="T81">
        <v>6</v>
      </c>
      <c r="U81">
        <v>4</v>
      </c>
      <c r="V81">
        <v>5</v>
      </c>
      <c r="W81">
        <v>2</v>
      </c>
      <c r="X81">
        <v>3</v>
      </c>
      <c r="Y81" t="s">
        <v>41</v>
      </c>
      <c r="Z81" t="s">
        <v>41</v>
      </c>
      <c r="AA81">
        <v>3</v>
      </c>
      <c r="AB81">
        <v>4</v>
      </c>
      <c r="AC81" t="s">
        <v>41</v>
      </c>
      <c r="AD81" t="s">
        <v>41</v>
      </c>
      <c r="AE81">
        <v>4</v>
      </c>
      <c r="AF81">
        <v>4</v>
      </c>
      <c r="AG81" t="s">
        <v>41</v>
      </c>
      <c r="AH81" t="s">
        <v>41</v>
      </c>
      <c r="AI81" t="s">
        <v>41</v>
      </c>
      <c r="AJ81" t="s">
        <v>41</v>
      </c>
      <c r="AK81" t="s">
        <v>41</v>
      </c>
      <c r="AL81" t="s">
        <v>41</v>
      </c>
      <c r="AM81" t="s">
        <v>41</v>
      </c>
      <c r="AN81" t="s">
        <v>41</v>
      </c>
      <c r="AO81" t="s">
        <v>41</v>
      </c>
      <c r="AP81" s="269" t="s">
        <v>41</v>
      </c>
      <c r="AQ81" t="s">
        <v>41</v>
      </c>
      <c r="AR81" t="s">
        <v>41</v>
      </c>
      <c r="AS81" s="269" t="s">
        <v>6</v>
      </c>
      <c r="AT81">
        <v>9</v>
      </c>
      <c r="AU81" s="11">
        <v>0.4</v>
      </c>
      <c r="AV81" s="85" t="s">
        <v>41</v>
      </c>
      <c r="AW81" s="268">
        <v>0</v>
      </c>
      <c r="AX81" s="6">
        <f t="shared" si="28"/>
        <v>3.5833333333333335</v>
      </c>
      <c r="AY81" s="9" t="str">
        <f t="shared" si="29"/>
        <v>Minors</v>
      </c>
      <c r="AZ81" s="9">
        <f t="shared" si="30"/>
        <v>4.583333333333333</v>
      </c>
      <c r="BA81" s="9" t="str">
        <f t="shared" si="31"/>
        <v>Bench</v>
      </c>
      <c r="BB81" s="9">
        <f t="shared" si="32"/>
        <v>4.583333333333333</v>
      </c>
      <c r="BC81" s="9" t="str">
        <f t="shared" si="33"/>
        <v>Bench</v>
      </c>
      <c r="BD81" s="84">
        <f t="shared" si="34"/>
        <v>4</v>
      </c>
      <c r="BE81" s="83">
        <f t="shared" si="35"/>
        <v>0</v>
      </c>
      <c r="BF81" t="str">
        <f t="shared" si="36"/>
        <v/>
      </c>
      <c r="BG81" s="91">
        <f>IF(O81="-","-",VLOOKUP($E81,CTPit!$E$10:$AW$175,BG$9,FALSE)-O81)</f>
        <v>0</v>
      </c>
      <c r="BH81" s="91">
        <f>IF(P81="-","-",VLOOKUP($E81,CTPit!$E$10:$AW$175,BH$9,FALSE)-P81)</f>
        <v>0</v>
      </c>
      <c r="BI81" s="91">
        <f>IF(Q81="-","-",VLOOKUP($E81,CTPit!$E$10:$AW$175,BI$9,FALSE)-Q81)</f>
        <v>0</v>
      </c>
      <c r="BJ81" s="91">
        <f>IF(R81="-","-",VLOOKUP($E81,CTPit!$E$10:$AW$175,BJ$9,FALSE)-R81)</f>
        <v>0</v>
      </c>
      <c r="BK81" s="91">
        <f>IF(S81="-","-",VLOOKUP($E81,CTPit!$E$10:$AW$175,BK$9,FALSE)-S81)</f>
        <v>0</v>
      </c>
      <c r="BL81" s="91">
        <f>IF(T81="-","-",VLOOKUP($E81,CTPit!$E$10:$AW$175,BL$9,FALSE)-T81)</f>
        <v>0</v>
      </c>
      <c r="BM81" s="91">
        <f>IF(U81="-","-",VLOOKUP($E81,CTPit!$E$10:$AW$175,BM$9,FALSE)-U81)</f>
        <v>0</v>
      </c>
      <c r="BN81" s="91">
        <f>IF(V81="-","-",VLOOKUP($E81,CTPit!$E$10:$AW$175,BN$9,FALSE)-V81)</f>
        <v>0</v>
      </c>
      <c r="BO81" s="91">
        <f>IF(W81="-","-",VLOOKUP($E81,CTPit!$E$10:$AW$175,BO$9,FALSE)-W81)</f>
        <v>1</v>
      </c>
      <c r="BP81" s="91">
        <f>IF(X81="-","-",VLOOKUP($E81,CTPit!$E$10:$AW$175,BP$9,FALSE)-X81)</f>
        <v>0</v>
      </c>
      <c r="BQ81" s="91" t="str">
        <f>IF(Y81="-","-",VLOOKUP($E81,CTPit!$E$10:$AW$175,BQ$9,FALSE)-Y81)</f>
        <v>-</v>
      </c>
      <c r="BR81" s="91" t="str">
        <f>IF(Z81="-","-",VLOOKUP($E81,CTPit!$E$10:$AW$175,BR$9,FALSE)-Z81)</f>
        <v>-</v>
      </c>
      <c r="BS81" s="91">
        <f>IF(AA81="-","-",VLOOKUP($E81,CTPit!$E$10:$AW$175,BS$9,FALSE)-AA81)</f>
        <v>0</v>
      </c>
      <c r="BT81" s="91">
        <f>IF(AB81="-","-",VLOOKUP($E81,CTPit!$E$10:$AW$175,BT$9,FALSE)-AB81)</f>
        <v>0</v>
      </c>
      <c r="BU81" s="91" t="str">
        <f>IF(AC81="-","-",VLOOKUP($E81,CTPit!$E$10:$AW$175,BU$9,FALSE)-AC81)</f>
        <v>-</v>
      </c>
      <c r="BV81" s="91" t="str">
        <f>IF(AD81="-","-",VLOOKUP($E81,CTPit!$E$10:$AW$175,BV$9,FALSE)-AD81)</f>
        <v>-</v>
      </c>
      <c r="BW81" s="91">
        <f>IF(AE81="-","-",VLOOKUP($E81,CTPit!$E$10:$AW$175,BW$9,FALSE)-AE81)</f>
        <v>0</v>
      </c>
      <c r="BX81" s="91">
        <f>IF(AF81="-","-",VLOOKUP($E81,CTPit!$E$10:$AW$175,BX$9,FALSE)-AF81)</f>
        <v>0</v>
      </c>
      <c r="BY81" s="91" t="str">
        <f>IF(AG81="-","-",VLOOKUP($E81,CTPit!$E$10:$AW$175,BY$9,FALSE)-AG81)</f>
        <v>-</v>
      </c>
      <c r="BZ81" s="91" t="str">
        <f>IF(AH81="-","-",VLOOKUP($E81,CTPit!$E$10:$AW$175,BZ$9,FALSE)-AH81)</f>
        <v>-</v>
      </c>
      <c r="CA81" s="91" t="str">
        <f>IF(AI81="-","-",VLOOKUP($E81,CTPit!$E$10:$AW$175,CA$9,FALSE)-AI81)</f>
        <v>-</v>
      </c>
      <c r="CB81" s="91" t="str">
        <f>IF(AJ81="-","-",VLOOKUP($E81,CTPit!$E$10:$AW$175,CB$9,FALSE)-AJ81)</f>
        <v>-</v>
      </c>
      <c r="CC81" s="91" t="str">
        <f>IF(AK81="-","-",VLOOKUP($E81,CTPit!$E$10:$AW$175,CC$9,FALSE)-AK81)</f>
        <v>-</v>
      </c>
      <c r="CD81" s="91" t="str">
        <f>IF(AL81="-","-",VLOOKUP($E81,CTPit!$E$10:$AW$175,CD$9,FALSE)-AL81)</f>
        <v>-</v>
      </c>
      <c r="CE81" s="91" t="str">
        <f>IF(AM81="-","-",VLOOKUP($E81,CTPit!$E$10:$AW$175,CE$9,FALSE)-AM81)</f>
        <v>-</v>
      </c>
      <c r="CF81" s="91" t="str">
        <f>IF(AN81="-","-",VLOOKUP($E81,CTPit!$E$10:$AW$175,CF$9,FALSE)-AN81)</f>
        <v>-</v>
      </c>
      <c r="CG81" s="91" t="str">
        <f>IF(AO81="-","-",VLOOKUP($E81,CTPit!$E$10:$AW$175,CG$9,FALSE)-AO81)</f>
        <v>-</v>
      </c>
      <c r="CH81" s="91" t="str">
        <f>IF(AP81="-","-",VLOOKUP($E81,CTPit!$E$10:$AW$175,CH$9,FALSE)-AP81)</f>
        <v>-</v>
      </c>
      <c r="CI81" s="91" t="str">
        <f>IF(AQ81="-","-",VLOOKUP($E81,CTPit!$E$10:$AW$175,CI$9,FALSE)-AQ81)</f>
        <v>-</v>
      </c>
      <c r="CJ81" s="91" t="str">
        <f>IF(AR81="-","-",VLOOKUP($E81,CTPit!$E$10:$AW$175,CJ$9,FALSE)-AR81)</f>
        <v>-</v>
      </c>
      <c r="CK81">
        <f t="shared" si="37"/>
        <v>1</v>
      </c>
    </row>
    <row r="82" spans="3:89">
      <c r="C82" t="str">
        <f t="shared" si="27"/>
        <v>K</v>
      </c>
      <c r="D82" t="s">
        <v>107</v>
      </c>
      <c r="E82" t="s">
        <v>416</v>
      </c>
      <c r="F82" t="s">
        <v>370</v>
      </c>
      <c r="G82" t="s">
        <v>316</v>
      </c>
      <c r="H82" s="269">
        <v>20</v>
      </c>
      <c r="I82" t="s">
        <v>103</v>
      </c>
      <c r="J82" t="s">
        <v>103</v>
      </c>
      <c r="K82" t="s">
        <v>47</v>
      </c>
      <c r="L82" s="269" t="s">
        <v>47</v>
      </c>
      <c r="M82" t="s">
        <v>227</v>
      </c>
      <c r="N82" t="s">
        <v>223</v>
      </c>
      <c r="O82" s="269">
        <v>6</v>
      </c>
      <c r="P82">
        <v>3</v>
      </c>
      <c r="Q82">
        <v>1</v>
      </c>
      <c r="R82" s="269">
        <v>6</v>
      </c>
      <c r="S82">
        <v>3</v>
      </c>
      <c r="T82">
        <v>2</v>
      </c>
      <c r="U82">
        <v>6</v>
      </c>
      <c r="V82">
        <v>7</v>
      </c>
      <c r="W82">
        <v>1</v>
      </c>
      <c r="X82">
        <v>1</v>
      </c>
      <c r="Y82">
        <v>4</v>
      </c>
      <c r="Z82">
        <v>5</v>
      </c>
      <c r="AA82" t="s">
        <v>41</v>
      </c>
      <c r="AB82" t="s">
        <v>41</v>
      </c>
      <c r="AC82" t="s">
        <v>41</v>
      </c>
      <c r="AD82" t="s">
        <v>41</v>
      </c>
      <c r="AE82" t="s">
        <v>41</v>
      </c>
      <c r="AF82" t="s">
        <v>41</v>
      </c>
      <c r="AG82" t="s">
        <v>41</v>
      </c>
      <c r="AH82" t="s">
        <v>41</v>
      </c>
      <c r="AI82" t="s">
        <v>41</v>
      </c>
      <c r="AJ82" t="s">
        <v>41</v>
      </c>
      <c r="AK82" t="s">
        <v>41</v>
      </c>
      <c r="AL82" t="s">
        <v>41</v>
      </c>
      <c r="AM82" t="s">
        <v>41</v>
      </c>
      <c r="AN82" t="s">
        <v>41</v>
      </c>
      <c r="AO82" t="s">
        <v>41</v>
      </c>
      <c r="AP82" s="269" t="s">
        <v>41</v>
      </c>
      <c r="AQ82" t="s">
        <v>41</v>
      </c>
      <c r="AR82" t="s">
        <v>41</v>
      </c>
      <c r="AS82" s="269" t="s">
        <v>434</v>
      </c>
      <c r="AT82">
        <v>10</v>
      </c>
      <c r="AU82" s="11">
        <v>0.37</v>
      </c>
      <c r="AV82" s="85" t="s">
        <v>41</v>
      </c>
      <c r="AW82" s="268">
        <v>0</v>
      </c>
      <c r="AX82" s="6">
        <f t="shared" si="28"/>
        <v>3.5833333333333335</v>
      </c>
      <c r="AY82" s="9" t="str">
        <f t="shared" si="29"/>
        <v>Minors</v>
      </c>
      <c r="AZ82" s="9">
        <f t="shared" si="30"/>
        <v>3.9166666666666665</v>
      </c>
      <c r="BA82" s="9" t="str">
        <f t="shared" si="31"/>
        <v>Minors</v>
      </c>
      <c r="BB82" s="9">
        <f t="shared" si="32"/>
        <v>3.9166666666666665</v>
      </c>
      <c r="BC82" s="9" t="str">
        <f t="shared" si="33"/>
        <v>Minors</v>
      </c>
      <c r="BD82" s="84">
        <f t="shared" si="34"/>
        <v>3</v>
      </c>
      <c r="BE82" s="83">
        <f t="shared" si="35"/>
        <v>1</v>
      </c>
      <c r="BF82" t="str">
        <f t="shared" si="36"/>
        <v/>
      </c>
      <c r="BG82" s="91">
        <f>IF(O82="-","-",VLOOKUP($E82,CTPit!$E$10:$AW$175,BG$9,FALSE)-O82)</f>
        <v>0</v>
      </c>
      <c r="BH82" s="91">
        <f>IF(P82="-","-",VLOOKUP($E82,CTPit!$E$10:$AW$175,BH$9,FALSE)-P82)</f>
        <v>0</v>
      </c>
      <c r="BI82" s="91">
        <f>IF(Q82="-","-",VLOOKUP($E82,CTPit!$E$10:$AW$175,BI$9,FALSE)-Q82)</f>
        <v>0</v>
      </c>
      <c r="BJ82" s="91">
        <f>IF(R82="-","-",VLOOKUP($E82,CTPit!$E$10:$AW$175,BJ$9,FALSE)-R82)</f>
        <v>1</v>
      </c>
      <c r="BK82" s="91">
        <f>IF(S82="-","-",VLOOKUP($E82,CTPit!$E$10:$AW$175,BK$9,FALSE)-S82)</f>
        <v>0</v>
      </c>
      <c r="BL82" s="91">
        <f>IF(T82="-","-",VLOOKUP($E82,CTPit!$E$10:$AW$175,BL$9,FALSE)-T82)</f>
        <v>0</v>
      </c>
      <c r="BM82" s="91">
        <f>IF(U82="-","-",VLOOKUP($E82,CTPit!$E$10:$AW$175,BM$9,FALSE)-U82)</f>
        <v>1</v>
      </c>
      <c r="BN82" s="91">
        <f>IF(V82="-","-",VLOOKUP($E82,CTPit!$E$10:$AW$175,BN$9,FALSE)-V82)</f>
        <v>0</v>
      </c>
      <c r="BO82" s="91">
        <f>IF(W82="-","-",VLOOKUP($E82,CTPit!$E$10:$AW$175,BO$9,FALSE)-W82)</f>
        <v>0</v>
      </c>
      <c r="BP82" s="91">
        <f>IF(X82="-","-",VLOOKUP($E82,CTPit!$E$10:$AW$175,BP$9,FALSE)-X82)</f>
        <v>1</v>
      </c>
      <c r="BQ82" s="91">
        <f>IF(Y82="-","-",VLOOKUP($E82,CTPit!$E$10:$AW$175,BQ$9,FALSE)-Y82)</f>
        <v>0</v>
      </c>
      <c r="BR82" s="91">
        <f>IF(Z82="-","-",VLOOKUP($E82,CTPit!$E$10:$AW$175,BR$9,FALSE)-Z82)</f>
        <v>0</v>
      </c>
      <c r="BS82" s="91" t="str">
        <f>IF(AA82="-","-",VLOOKUP($E82,CTPit!$E$10:$AW$175,BS$9,FALSE)-AA82)</f>
        <v>-</v>
      </c>
      <c r="BT82" s="91" t="str">
        <f>IF(AB82="-","-",VLOOKUP($E82,CTPit!$E$10:$AW$175,BT$9,FALSE)-AB82)</f>
        <v>-</v>
      </c>
      <c r="BU82" s="91" t="str">
        <f>IF(AC82="-","-",VLOOKUP($E82,CTPit!$E$10:$AW$175,BU$9,FALSE)-AC82)</f>
        <v>-</v>
      </c>
      <c r="BV82" s="91" t="str">
        <f>IF(AD82="-","-",VLOOKUP($E82,CTPit!$E$10:$AW$175,BV$9,FALSE)-AD82)</f>
        <v>-</v>
      </c>
      <c r="BW82" s="91" t="str">
        <f>IF(AE82="-","-",VLOOKUP($E82,CTPit!$E$10:$AW$175,BW$9,FALSE)-AE82)</f>
        <v>-</v>
      </c>
      <c r="BX82" s="91" t="str">
        <f>IF(AF82="-","-",VLOOKUP($E82,CTPit!$E$10:$AW$175,BX$9,FALSE)-AF82)</f>
        <v>-</v>
      </c>
      <c r="BY82" s="91" t="str">
        <f>IF(AG82="-","-",VLOOKUP($E82,CTPit!$E$10:$AW$175,BY$9,FALSE)-AG82)</f>
        <v>-</v>
      </c>
      <c r="BZ82" s="91" t="str">
        <f>IF(AH82="-","-",VLOOKUP($E82,CTPit!$E$10:$AW$175,BZ$9,FALSE)-AH82)</f>
        <v>-</v>
      </c>
      <c r="CA82" s="91" t="str">
        <f>IF(AI82="-","-",VLOOKUP($E82,CTPit!$E$10:$AW$175,CA$9,FALSE)-AI82)</f>
        <v>-</v>
      </c>
      <c r="CB82" s="91" t="str">
        <f>IF(AJ82="-","-",VLOOKUP($E82,CTPit!$E$10:$AW$175,CB$9,FALSE)-AJ82)</f>
        <v>-</v>
      </c>
      <c r="CC82" s="91" t="str">
        <f>IF(AK82="-","-",VLOOKUP($E82,CTPit!$E$10:$AW$175,CC$9,FALSE)-AK82)</f>
        <v>-</v>
      </c>
      <c r="CD82" s="91" t="str">
        <f>IF(AL82="-","-",VLOOKUP($E82,CTPit!$E$10:$AW$175,CD$9,FALSE)-AL82)</f>
        <v>-</v>
      </c>
      <c r="CE82" s="91" t="str">
        <f>IF(AM82="-","-",VLOOKUP($E82,CTPit!$E$10:$AW$175,CE$9,FALSE)-AM82)</f>
        <v>-</v>
      </c>
      <c r="CF82" s="91" t="str">
        <f>IF(AN82="-","-",VLOOKUP($E82,CTPit!$E$10:$AW$175,CF$9,FALSE)-AN82)</f>
        <v>-</v>
      </c>
      <c r="CG82" s="91" t="str">
        <f>IF(AO82="-","-",VLOOKUP($E82,CTPit!$E$10:$AW$175,CG$9,FALSE)-AO82)</f>
        <v>-</v>
      </c>
      <c r="CH82" s="91" t="str">
        <f>IF(AP82="-","-",VLOOKUP($E82,CTPit!$E$10:$AW$175,CH$9,FALSE)-AP82)</f>
        <v>-</v>
      </c>
      <c r="CI82" s="91" t="str">
        <f>IF(AQ82="-","-",VLOOKUP($E82,CTPit!$E$10:$AW$175,CI$9,FALSE)-AQ82)</f>
        <v>-</v>
      </c>
      <c r="CJ82" s="91" t="str">
        <f>IF(AR82="-","-",VLOOKUP($E82,CTPit!$E$10:$AW$175,CJ$9,FALSE)-AR82)</f>
        <v>-</v>
      </c>
      <c r="CK82">
        <f t="shared" si="37"/>
        <v>3</v>
      </c>
    </row>
    <row r="83" spans="3:89">
      <c r="C83" t="str">
        <f t="shared" si="27"/>
        <v>K</v>
      </c>
      <c r="D83" t="s">
        <v>107</v>
      </c>
      <c r="E83" t="s">
        <v>447</v>
      </c>
      <c r="F83" t="s">
        <v>370</v>
      </c>
      <c r="G83" t="s">
        <v>316</v>
      </c>
      <c r="H83" s="269">
        <v>22</v>
      </c>
      <c r="I83" t="s">
        <v>104</v>
      </c>
      <c r="J83" t="s">
        <v>104</v>
      </c>
      <c r="K83" t="s">
        <v>47</v>
      </c>
      <c r="L83" s="269" t="s">
        <v>47</v>
      </c>
      <c r="M83" t="s">
        <v>226</v>
      </c>
      <c r="N83" t="s">
        <v>225</v>
      </c>
      <c r="O83" s="269">
        <v>3</v>
      </c>
      <c r="P83">
        <v>3</v>
      </c>
      <c r="Q83">
        <v>3</v>
      </c>
      <c r="R83" s="269">
        <v>4</v>
      </c>
      <c r="S83">
        <v>3</v>
      </c>
      <c r="T83">
        <v>5</v>
      </c>
      <c r="U83">
        <v>6</v>
      </c>
      <c r="V83">
        <v>6</v>
      </c>
      <c r="W83">
        <v>3</v>
      </c>
      <c r="X83">
        <v>3</v>
      </c>
      <c r="Y83">
        <v>3</v>
      </c>
      <c r="Z83">
        <v>3</v>
      </c>
      <c r="AA83" t="s">
        <v>41</v>
      </c>
      <c r="AB83" t="s">
        <v>41</v>
      </c>
      <c r="AC83" t="s">
        <v>41</v>
      </c>
      <c r="AD83" t="s">
        <v>41</v>
      </c>
      <c r="AE83">
        <v>5</v>
      </c>
      <c r="AF83">
        <v>5</v>
      </c>
      <c r="AG83" t="s">
        <v>41</v>
      </c>
      <c r="AH83" t="s">
        <v>41</v>
      </c>
      <c r="AI83" t="s">
        <v>41</v>
      </c>
      <c r="AJ83" t="s">
        <v>41</v>
      </c>
      <c r="AK83" t="s">
        <v>41</v>
      </c>
      <c r="AL83" t="s">
        <v>41</v>
      </c>
      <c r="AM83" t="s">
        <v>41</v>
      </c>
      <c r="AN83" t="s">
        <v>41</v>
      </c>
      <c r="AO83" t="s">
        <v>41</v>
      </c>
      <c r="AP83" s="269" t="s">
        <v>41</v>
      </c>
      <c r="AQ83" t="s">
        <v>41</v>
      </c>
      <c r="AR83" t="s">
        <v>41</v>
      </c>
      <c r="AS83" s="269" t="s">
        <v>242</v>
      </c>
      <c r="AT83">
        <v>6</v>
      </c>
      <c r="AU83" s="11">
        <v>0.43</v>
      </c>
      <c r="AV83" s="85" t="s">
        <v>41</v>
      </c>
      <c r="AW83" s="268" t="s">
        <v>45</v>
      </c>
      <c r="AX83" s="6">
        <f t="shared" si="28"/>
        <v>3.5</v>
      </c>
      <c r="AY83" s="9" t="str">
        <f t="shared" si="29"/>
        <v>Minors</v>
      </c>
      <c r="AZ83" s="9">
        <f t="shared" si="30"/>
        <v>4.5</v>
      </c>
      <c r="BA83" s="9" t="str">
        <f t="shared" si="31"/>
        <v>Bench</v>
      </c>
      <c r="BB83" s="9">
        <f t="shared" si="32"/>
        <v>4.5</v>
      </c>
      <c r="BC83" s="9" t="str">
        <f t="shared" si="33"/>
        <v>Bench</v>
      </c>
      <c r="BD83" s="84">
        <f t="shared" si="34"/>
        <v>4</v>
      </c>
      <c r="BE83" s="83">
        <f t="shared" si="35"/>
        <v>1</v>
      </c>
      <c r="BF83" t="str">
        <f t="shared" si="36"/>
        <v/>
      </c>
      <c r="BG83" s="91" t="e">
        <f>IF(O83="-","-",VLOOKUP($E83,CTPit!$E$10:$AW$175,BG$9,FALSE)-O83)</f>
        <v>#N/A</v>
      </c>
      <c r="BH83" s="91" t="e">
        <f>IF(P83="-","-",VLOOKUP($E83,CTPit!$E$10:$AW$175,BH$9,FALSE)-P83)</f>
        <v>#N/A</v>
      </c>
      <c r="BI83" s="91" t="e">
        <f>IF(Q83="-","-",VLOOKUP($E83,CTPit!$E$10:$AW$175,BI$9,FALSE)-Q83)</f>
        <v>#N/A</v>
      </c>
      <c r="BJ83" s="91" t="e">
        <f>IF(R83="-","-",VLOOKUP($E83,CTPit!$E$10:$AW$175,BJ$9,FALSE)-R83)</f>
        <v>#N/A</v>
      </c>
      <c r="BK83" s="91" t="e">
        <f>IF(S83="-","-",VLOOKUP($E83,CTPit!$E$10:$AW$175,BK$9,FALSE)-S83)</f>
        <v>#N/A</v>
      </c>
      <c r="BL83" s="91" t="e">
        <f>IF(T83="-","-",VLOOKUP($E83,CTPit!$E$10:$AW$175,BL$9,FALSE)-T83)</f>
        <v>#N/A</v>
      </c>
      <c r="BM83" s="91" t="e">
        <f>IF(U83="-","-",VLOOKUP($E83,CTPit!$E$10:$AW$175,BM$9,FALSE)-U83)</f>
        <v>#N/A</v>
      </c>
      <c r="BN83" s="91" t="e">
        <f>IF(V83="-","-",VLOOKUP($E83,CTPit!$E$10:$AW$175,BN$9,FALSE)-V83)</f>
        <v>#N/A</v>
      </c>
      <c r="BO83" s="91" t="e">
        <f>IF(W83="-","-",VLOOKUP($E83,CTPit!$E$10:$AW$175,BO$9,FALSE)-W83)</f>
        <v>#N/A</v>
      </c>
      <c r="BP83" s="91" t="e">
        <f>IF(X83="-","-",VLOOKUP($E83,CTPit!$E$10:$AW$175,BP$9,FALSE)-X83)</f>
        <v>#N/A</v>
      </c>
      <c r="BQ83" s="91" t="e">
        <f>IF(Y83="-","-",VLOOKUP($E83,CTPit!$E$10:$AW$175,BQ$9,FALSE)-Y83)</f>
        <v>#N/A</v>
      </c>
      <c r="BR83" s="91" t="e">
        <f>IF(Z83="-","-",VLOOKUP($E83,CTPit!$E$10:$AW$175,BR$9,FALSE)-Z83)</f>
        <v>#N/A</v>
      </c>
      <c r="BS83" s="91" t="str">
        <f>IF(AA83="-","-",VLOOKUP($E83,CTPit!$E$10:$AW$175,BS$9,FALSE)-AA83)</f>
        <v>-</v>
      </c>
      <c r="BT83" s="91" t="str">
        <f>IF(AB83="-","-",VLOOKUP($E83,CTPit!$E$10:$AW$175,BT$9,FALSE)-AB83)</f>
        <v>-</v>
      </c>
      <c r="BU83" s="91" t="str">
        <f>IF(AC83="-","-",VLOOKUP($E83,CTPit!$E$10:$AW$175,BU$9,FALSE)-AC83)</f>
        <v>-</v>
      </c>
      <c r="BV83" s="91" t="str">
        <f>IF(AD83="-","-",VLOOKUP($E83,CTPit!$E$10:$AW$175,BV$9,FALSE)-AD83)</f>
        <v>-</v>
      </c>
      <c r="BW83" s="91" t="e">
        <f>IF(AE83="-","-",VLOOKUP($E83,CTPit!$E$10:$AW$175,BW$9,FALSE)-AE83)</f>
        <v>#N/A</v>
      </c>
      <c r="BX83" s="91" t="e">
        <f>IF(AF83="-","-",VLOOKUP($E83,CTPit!$E$10:$AW$175,BX$9,FALSE)-AF83)</f>
        <v>#N/A</v>
      </c>
      <c r="BY83" s="91" t="str">
        <f>IF(AG83="-","-",VLOOKUP($E83,CTPit!$E$10:$AW$175,BY$9,FALSE)-AG83)</f>
        <v>-</v>
      </c>
      <c r="BZ83" s="91" t="str">
        <f>IF(AH83="-","-",VLOOKUP($E83,CTPit!$E$10:$AW$175,BZ$9,FALSE)-AH83)</f>
        <v>-</v>
      </c>
      <c r="CA83" s="91" t="str">
        <f>IF(AI83="-","-",VLOOKUP($E83,CTPit!$E$10:$AW$175,CA$9,FALSE)-AI83)</f>
        <v>-</v>
      </c>
      <c r="CB83" s="91" t="str">
        <f>IF(AJ83="-","-",VLOOKUP($E83,CTPit!$E$10:$AW$175,CB$9,FALSE)-AJ83)</f>
        <v>-</v>
      </c>
      <c r="CC83" s="91" t="str">
        <f>IF(AK83="-","-",VLOOKUP($E83,CTPit!$E$10:$AW$175,CC$9,FALSE)-AK83)</f>
        <v>-</v>
      </c>
      <c r="CD83" s="91" t="str">
        <f>IF(AL83="-","-",VLOOKUP($E83,CTPit!$E$10:$AW$175,CD$9,FALSE)-AL83)</f>
        <v>-</v>
      </c>
      <c r="CE83" s="91" t="str">
        <f>IF(AM83="-","-",VLOOKUP($E83,CTPit!$E$10:$AW$175,CE$9,FALSE)-AM83)</f>
        <v>-</v>
      </c>
      <c r="CF83" s="91" t="str">
        <f>IF(AN83="-","-",VLOOKUP($E83,CTPit!$E$10:$AW$175,CF$9,FALSE)-AN83)</f>
        <v>-</v>
      </c>
      <c r="CG83" s="91" t="str">
        <f>IF(AO83="-","-",VLOOKUP($E83,CTPit!$E$10:$AW$175,CG$9,FALSE)-AO83)</f>
        <v>-</v>
      </c>
      <c r="CH83" s="91" t="str">
        <f>IF(AP83="-","-",VLOOKUP($E83,CTPit!$E$10:$AW$175,CH$9,FALSE)-AP83)</f>
        <v>-</v>
      </c>
      <c r="CI83" s="91" t="str">
        <f>IF(AQ83="-","-",VLOOKUP($E83,CTPit!$E$10:$AW$175,CI$9,FALSE)-AQ83)</f>
        <v>-</v>
      </c>
      <c r="CJ83" s="91" t="str">
        <f>IF(AR83="-","-",VLOOKUP($E83,CTPit!$E$10:$AW$175,CJ$9,FALSE)-AR83)</f>
        <v>-</v>
      </c>
      <c r="CK83" t="e">
        <f t="shared" si="37"/>
        <v>#N/A</v>
      </c>
    </row>
    <row r="84" spans="3:89">
      <c r="C84" t="str">
        <f t="shared" si="27"/>
        <v>K</v>
      </c>
      <c r="D84" t="s">
        <v>107</v>
      </c>
      <c r="E84" t="s">
        <v>437</v>
      </c>
      <c r="F84" t="s">
        <v>370</v>
      </c>
      <c r="G84" t="s">
        <v>316</v>
      </c>
      <c r="H84" s="269">
        <v>20</v>
      </c>
      <c r="I84" t="s">
        <v>103</v>
      </c>
      <c r="J84" t="s">
        <v>103</v>
      </c>
      <c r="K84" t="s">
        <v>47</v>
      </c>
      <c r="L84" s="269" t="s">
        <v>47</v>
      </c>
      <c r="M84" t="s">
        <v>227</v>
      </c>
      <c r="N84" t="s">
        <v>223</v>
      </c>
      <c r="O84" s="269">
        <v>3</v>
      </c>
      <c r="P84">
        <v>4</v>
      </c>
      <c r="Q84">
        <v>1</v>
      </c>
      <c r="R84" s="269">
        <v>3</v>
      </c>
      <c r="S84">
        <v>4</v>
      </c>
      <c r="T84">
        <v>4</v>
      </c>
      <c r="U84">
        <v>3</v>
      </c>
      <c r="V84">
        <v>3</v>
      </c>
      <c r="W84">
        <v>2</v>
      </c>
      <c r="X84">
        <v>3</v>
      </c>
      <c r="Y84" t="s">
        <v>41</v>
      </c>
      <c r="Z84" t="s">
        <v>41</v>
      </c>
      <c r="AA84">
        <v>2</v>
      </c>
      <c r="AB84">
        <v>3</v>
      </c>
      <c r="AC84" t="s">
        <v>41</v>
      </c>
      <c r="AD84" t="s">
        <v>41</v>
      </c>
      <c r="AE84">
        <v>3</v>
      </c>
      <c r="AF84">
        <v>3</v>
      </c>
      <c r="AG84" t="s">
        <v>41</v>
      </c>
      <c r="AH84" t="s">
        <v>41</v>
      </c>
      <c r="AI84">
        <v>3</v>
      </c>
      <c r="AJ84">
        <v>3</v>
      </c>
      <c r="AK84">
        <v>3</v>
      </c>
      <c r="AL84">
        <v>3</v>
      </c>
      <c r="AM84" t="s">
        <v>41</v>
      </c>
      <c r="AN84" t="s">
        <v>41</v>
      </c>
      <c r="AO84" t="s">
        <v>41</v>
      </c>
      <c r="AP84" s="269" t="s">
        <v>41</v>
      </c>
      <c r="AQ84" t="s">
        <v>41</v>
      </c>
      <c r="AR84" t="s">
        <v>41</v>
      </c>
      <c r="AS84" s="269" t="s">
        <v>7</v>
      </c>
      <c r="AT84">
        <v>5</v>
      </c>
      <c r="AU84" s="11">
        <v>0.53</v>
      </c>
      <c r="AV84" s="85" t="s">
        <v>41</v>
      </c>
      <c r="AW84" s="268" t="s">
        <v>45</v>
      </c>
      <c r="AX84" s="6">
        <f t="shared" si="28"/>
        <v>3.4166666666666665</v>
      </c>
      <c r="AY84" s="9" t="str">
        <f t="shared" si="29"/>
        <v>Minors</v>
      </c>
      <c r="AZ84" s="9">
        <f t="shared" si="30"/>
        <v>4.4166666666666661</v>
      </c>
      <c r="BA84" s="9" t="str">
        <f t="shared" si="31"/>
        <v>Bench</v>
      </c>
      <c r="BB84" s="9">
        <f t="shared" si="32"/>
        <v>4.4166666666666661</v>
      </c>
      <c r="BC84" s="9" t="str">
        <f t="shared" si="33"/>
        <v>Bench</v>
      </c>
      <c r="BD84" s="84">
        <f t="shared" si="34"/>
        <v>6</v>
      </c>
      <c r="BE84" s="83">
        <f t="shared" si="35"/>
        <v>0</v>
      </c>
      <c r="BF84" t="str">
        <f t="shared" si="36"/>
        <v/>
      </c>
      <c r="BG84" s="91" t="e">
        <f>IF(O84="-","-",VLOOKUP($E84,CTPit!$E$10:$AW$175,BG$9,FALSE)-O84)</f>
        <v>#N/A</v>
      </c>
      <c r="BH84" s="91" t="e">
        <f>IF(P84="-","-",VLOOKUP($E84,CTPit!$E$10:$AW$175,BH$9,FALSE)-P84)</f>
        <v>#N/A</v>
      </c>
      <c r="BI84" s="91" t="e">
        <f>IF(Q84="-","-",VLOOKUP($E84,CTPit!$E$10:$AW$175,BI$9,FALSE)-Q84)</f>
        <v>#N/A</v>
      </c>
      <c r="BJ84" s="91" t="e">
        <f>IF(R84="-","-",VLOOKUP($E84,CTPit!$E$10:$AW$175,BJ$9,FALSE)-R84)</f>
        <v>#N/A</v>
      </c>
      <c r="BK84" s="91" t="e">
        <f>IF(S84="-","-",VLOOKUP($E84,CTPit!$E$10:$AW$175,BK$9,FALSE)-S84)</f>
        <v>#N/A</v>
      </c>
      <c r="BL84" s="91" t="e">
        <f>IF(T84="-","-",VLOOKUP($E84,CTPit!$E$10:$AW$175,BL$9,FALSE)-T84)</f>
        <v>#N/A</v>
      </c>
      <c r="BM84" s="91" t="e">
        <f>IF(U84="-","-",VLOOKUP($E84,CTPit!$E$10:$AW$175,BM$9,FALSE)-U84)</f>
        <v>#N/A</v>
      </c>
      <c r="BN84" s="91" t="e">
        <f>IF(V84="-","-",VLOOKUP($E84,CTPit!$E$10:$AW$175,BN$9,FALSE)-V84)</f>
        <v>#N/A</v>
      </c>
      <c r="BO84" s="91" t="e">
        <f>IF(W84="-","-",VLOOKUP($E84,CTPit!$E$10:$AW$175,BO$9,FALSE)-W84)</f>
        <v>#N/A</v>
      </c>
      <c r="BP84" s="91" t="e">
        <f>IF(X84="-","-",VLOOKUP($E84,CTPit!$E$10:$AW$175,BP$9,FALSE)-X84)</f>
        <v>#N/A</v>
      </c>
      <c r="BQ84" s="91" t="str">
        <f>IF(Y84="-","-",VLOOKUP($E84,CTPit!$E$10:$AW$175,BQ$9,FALSE)-Y84)</f>
        <v>-</v>
      </c>
      <c r="BR84" s="91" t="str">
        <f>IF(Z84="-","-",VLOOKUP($E84,CTPit!$E$10:$AW$175,BR$9,FALSE)-Z84)</f>
        <v>-</v>
      </c>
      <c r="BS84" s="91" t="e">
        <f>IF(AA84="-","-",VLOOKUP($E84,CTPit!$E$10:$AW$175,BS$9,FALSE)-AA84)</f>
        <v>#N/A</v>
      </c>
      <c r="BT84" s="91" t="e">
        <f>IF(AB84="-","-",VLOOKUP($E84,CTPit!$E$10:$AW$175,BT$9,FALSE)-AB84)</f>
        <v>#N/A</v>
      </c>
      <c r="BU84" s="91" t="str">
        <f>IF(AC84="-","-",VLOOKUP($E84,CTPit!$E$10:$AW$175,BU$9,FALSE)-AC84)</f>
        <v>-</v>
      </c>
      <c r="BV84" s="91" t="str">
        <f>IF(AD84="-","-",VLOOKUP($E84,CTPit!$E$10:$AW$175,BV$9,FALSE)-AD84)</f>
        <v>-</v>
      </c>
      <c r="BW84" s="91" t="e">
        <f>IF(AE84="-","-",VLOOKUP($E84,CTPit!$E$10:$AW$175,BW$9,FALSE)-AE84)</f>
        <v>#N/A</v>
      </c>
      <c r="BX84" s="91" t="e">
        <f>IF(AF84="-","-",VLOOKUP($E84,CTPit!$E$10:$AW$175,BX$9,FALSE)-AF84)</f>
        <v>#N/A</v>
      </c>
      <c r="BY84" s="91" t="str">
        <f>IF(AG84="-","-",VLOOKUP($E84,CTPit!$E$10:$AW$175,BY$9,FALSE)-AG84)</f>
        <v>-</v>
      </c>
      <c r="BZ84" s="91" t="str">
        <f>IF(AH84="-","-",VLOOKUP($E84,CTPit!$E$10:$AW$175,BZ$9,FALSE)-AH84)</f>
        <v>-</v>
      </c>
      <c r="CA84" s="91" t="e">
        <f>IF(AI84="-","-",VLOOKUP($E84,CTPit!$E$10:$AW$175,CA$9,FALSE)-AI84)</f>
        <v>#N/A</v>
      </c>
      <c r="CB84" s="91" t="e">
        <f>IF(AJ84="-","-",VLOOKUP($E84,CTPit!$E$10:$AW$175,CB$9,FALSE)-AJ84)</f>
        <v>#N/A</v>
      </c>
      <c r="CC84" s="91" t="e">
        <f>IF(AK84="-","-",VLOOKUP($E84,CTPit!$E$10:$AW$175,CC$9,FALSE)-AK84)</f>
        <v>#N/A</v>
      </c>
      <c r="CD84" s="91" t="e">
        <f>IF(AL84="-","-",VLOOKUP($E84,CTPit!$E$10:$AW$175,CD$9,FALSE)-AL84)</f>
        <v>#N/A</v>
      </c>
      <c r="CE84" s="91" t="str">
        <f>IF(AM84="-","-",VLOOKUP($E84,CTPit!$E$10:$AW$175,CE$9,FALSE)-AM84)</f>
        <v>-</v>
      </c>
      <c r="CF84" s="91" t="str">
        <f>IF(AN84="-","-",VLOOKUP($E84,CTPit!$E$10:$AW$175,CF$9,FALSE)-AN84)</f>
        <v>-</v>
      </c>
      <c r="CG84" s="91" t="str">
        <f>IF(AO84="-","-",VLOOKUP($E84,CTPit!$E$10:$AW$175,CG$9,FALSE)-AO84)</f>
        <v>-</v>
      </c>
      <c r="CH84" s="91" t="str">
        <f>IF(AP84="-","-",VLOOKUP($E84,CTPit!$E$10:$AW$175,CH$9,FALSE)-AP84)</f>
        <v>-</v>
      </c>
      <c r="CI84" s="91" t="str">
        <f>IF(AQ84="-","-",VLOOKUP($E84,CTPit!$E$10:$AW$175,CI$9,FALSE)-AQ84)</f>
        <v>-</v>
      </c>
      <c r="CJ84" s="91" t="str">
        <f>IF(AR84="-","-",VLOOKUP($E84,CTPit!$E$10:$AW$175,CJ$9,FALSE)-AR84)</f>
        <v>-</v>
      </c>
      <c r="CK84" t="e">
        <f t="shared" si="37"/>
        <v>#N/A</v>
      </c>
    </row>
    <row r="85" spans="3:89">
      <c r="C85" t="str">
        <f t="shared" ref="C85:C92" si="38">IF(OR(M85&gt;7,AND(M85&gt;4,N85&gt;5)),"K","T")</f>
        <v>K</v>
      </c>
      <c r="D85" t="s">
        <v>107</v>
      </c>
      <c r="E85" t="s">
        <v>519</v>
      </c>
      <c r="F85" t="s">
        <v>370</v>
      </c>
      <c r="G85" t="s">
        <v>316</v>
      </c>
      <c r="H85" s="3">
        <v>20</v>
      </c>
      <c r="I85" t="s">
        <v>103</v>
      </c>
      <c r="J85" t="s">
        <v>104</v>
      </c>
      <c r="K85" t="s">
        <v>47</v>
      </c>
      <c r="L85" s="3" t="s">
        <v>42</v>
      </c>
      <c r="M85" t="s">
        <v>223</v>
      </c>
      <c r="N85" t="s">
        <v>227</v>
      </c>
      <c r="O85" s="3">
        <v>5</v>
      </c>
      <c r="P85">
        <v>3</v>
      </c>
      <c r="Q85">
        <v>1</v>
      </c>
      <c r="R85" s="3">
        <v>7</v>
      </c>
      <c r="S85">
        <v>3</v>
      </c>
      <c r="T85">
        <v>5</v>
      </c>
      <c r="U85">
        <v>6</v>
      </c>
      <c r="V85">
        <v>7</v>
      </c>
      <c r="W85" t="s">
        <v>41</v>
      </c>
      <c r="X85" t="s">
        <v>41</v>
      </c>
      <c r="Y85">
        <v>4</v>
      </c>
      <c r="Z85">
        <v>7</v>
      </c>
      <c r="AA85" t="s">
        <v>41</v>
      </c>
      <c r="AB85" t="s">
        <v>41</v>
      </c>
      <c r="AC85" t="s">
        <v>41</v>
      </c>
      <c r="AD85" t="s">
        <v>41</v>
      </c>
      <c r="AE85" t="s">
        <v>41</v>
      </c>
      <c r="AF85" t="s">
        <v>41</v>
      </c>
      <c r="AG85" t="s">
        <v>41</v>
      </c>
      <c r="AH85" t="s">
        <v>41</v>
      </c>
      <c r="AI85" t="s">
        <v>41</v>
      </c>
      <c r="AJ85" t="s">
        <v>41</v>
      </c>
      <c r="AK85" t="s">
        <v>41</v>
      </c>
      <c r="AL85" t="s">
        <v>41</v>
      </c>
      <c r="AM85" t="s">
        <v>41</v>
      </c>
      <c r="AN85" t="s">
        <v>41</v>
      </c>
      <c r="AO85" t="s">
        <v>41</v>
      </c>
      <c r="AP85" s="3" t="s">
        <v>41</v>
      </c>
      <c r="AQ85" t="s">
        <v>41</v>
      </c>
      <c r="AR85" t="s">
        <v>41</v>
      </c>
      <c r="AS85" s="3" t="s">
        <v>15</v>
      </c>
      <c r="AT85">
        <v>1</v>
      </c>
      <c r="AU85" s="3">
        <v>0.35</v>
      </c>
      <c r="AV85" t="s">
        <v>41</v>
      </c>
      <c r="AW85" s="5" t="s">
        <v>45</v>
      </c>
      <c r="AX85" s="6">
        <f t="shared" ref="AX85:AX92" si="39">AVERAGE(O85:Q85)+0.25*MAX(0,(COUNT(U85,W85,Y85,AA85,AC85,AE85,AG85,AI85,AK85,AM85,AO85,AQ85)-3))+IF(AU85&gt;0.55,0.25,0)+IF(MAX(U85,W85,Y85,AA85,AC85,AE85,AG85,AI85,AK85,AM85,AO85,AQ85)&gt;5,0.25,0)</f>
        <v>3.25</v>
      </c>
      <c r="AY85" s="9" t="str">
        <f t="shared" ref="AY85:AY92" si="40">IF(AX85&gt;9,"SuperStar",IF(AX85&gt;8,"Star",IF(AX85&gt;6.5,"GoodReg",IF(AX85&gt;5,"Reg",IF(AX85&gt;4,"Bench","Minors")))))</f>
        <v>Minors</v>
      </c>
      <c r="AZ85" s="9">
        <f t="shared" ref="AZ85:AZ92" si="41">AVERAGE(R85:T85)+0.25*MAX(0,(COUNT(V85,X85,Z85,AB85,AD85,AF85,AH85,AJ85,AL85,AN85,AP85,AR85)-3))+IF(AU85&gt;0.55,0.25,0)+IF(MAX(V85,X85,Z85,AB85,AD85,AF85,AH85,AJ85,AL85,AN85,AP85,AR85)&gt;5,0.25,0)</f>
        <v>5.25</v>
      </c>
      <c r="BA85" s="9" t="str">
        <f t="shared" ref="BA85:BA92" si="42">IF(AZ85&gt;9,"SuperStar",IF(AZ85&gt;8,"Star",IF(AZ85&gt;6.5,"GoodReg",IF(AZ85&gt;5,"Reg",IF(AZ85&gt;4,"Bench","Minors")))))</f>
        <v>Reg</v>
      </c>
      <c r="BB85" s="9">
        <f t="shared" ref="BB85:BB92" si="43">MIN(AX85+(MAX(0,25-S85))^1.5,AZ85)</f>
        <v>5.25</v>
      </c>
      <c r="BC85" s="9" t="str">
        <f t="shared" ref="BC85:BC92" si="44">IF(BB85&gt;9,"SuperStar",IF(BB85&gt;8,"Star",IF(BB85&gt;6.5,"GoodReg",IF(BB85&gt;5,"Reg",IF(BB85&gt;4,"Bench","Minors")))))</f>
        <v>Reg</v>
      </c>
      <c r="BD85" s="84">
        <f t="shared" ref="BD85:BD92" si="45">COUNT(U85:AR85)/2</f>
        <v>2</v>
      </c>
      <c r="BE85" s="83">
        <f t="shared" ref="BE85:BE92" si="46">COUNTIF(U85:AR85,"&gt;5")/2</f>
        <v>1.5</v>
      </c>
      <c r="BF85" t="str">
        <f t="shared" ref="BF85:BF92" si="47">IF(AW85=1,"Yes","")</f>
        <v/>
      </c>
      <c r="BG85" s="91">
        <f>IF(O85="-","-",VLOOKUP($E85,CTPit!$E$10:$AW$175,BG$9,FALSE)-O85)</f>
        <v>0</v>
      </c>
      <c r="BH85" s="91">
        <f>IF(P85="-","-",VLOOKUP($E85,CTPit!$E$10:$AW$175,BH$9,FALSE)-P85)</f>
        <v>0</v>
      </c>
      <c r="BI85" s="91">
        <f>IF(Q85="-","-",VLOOKUP($E85,CTPit!$E$10:$AW$175,BI$9,FALSE)-Q85)</f>
        <v>1</v>
      </c>
      <c r="BJ85" s="91">
        <f>IF(R85="-","-",VLOOKUP($E85,CTPit!$E$10:$AW$175,BJ$9,FALSE)-R85)</f>
        <v>-1</v>
      </c>
      <c r="BK85" s="91">
        <f>IF(S85="-","-",VLOOKUP($E85,CTPit!$E$10:$AW$175,BK$9,FALSE)-S85)</f>
        <v>0</v>
      </c>
      <c r="BL85" s="91">
        <f>IF(T85="-","-",VLOOKUP($E85,CTPit!$E$10:$AW$175,BL$9,FALSE)-T85)</f>
        <v>-1</v>
      </c>
      <c r="BM85" s="91">
        <f>IF(U85="-","-",VLOOKUP($E85,CTPit!$E$10:$AW$175,BM$9,FALSE)-U85)</f>
        <v>1</v>
      </c>
      <c r="BN85" s="91">
        <f>IF(V85="-","-",VLOOKUP($E85,CTPit!$E$10:$AW$175,BN$9,FALSE)-V85)</f>
        <v>0</v>
      </c>
      <c r="BO85" s="91" t="str">
        <f>IF(W85="-","-",VLOOKUP($E85,CTPit!$E$10:$AW$175,BO$9,FALSE)-W85)</f>
        <v>-</v>
      </c>
      <c r="BP85" s="91" t="str">
        <f>IF(X85="-","-",VLOOKUP($E85,CTPit!$E$10:$AW$175,BP$9,FALSE)-X85)</f>
        <v>-</v>
      </c>
      <c r="BQ85" s="91">
        <f>IF(Y85="-","-",VLOOKUP($E85,CTPit!$E$10:$AW$175,BQ$9,FALSE)-Y85)</f>
        <v>0</v>
      </c>
      <c r="BR85" s="91">
        <f>IF(Z85="-","-",VLOOKUP($E85,CTPit!$E$10:$AW$175,BR$9,FALSE)-Z85)</f>
        <v>-1</v>
      </c>
      <c r="BS85" s="91" t="str">
        <f>IF(AA85="-","-",VLOOKUP($E85,CTPit!$E$10:$AW$175,BS$9,FALSE)-AA85)</f>
        <v>-</v>
      </c>
      <c r="BT85" s="91" t="str">
        <f>IF(AB85="-","-",VLOOKUP($E85,CTPit!$E$10:$AW$175,BT$9,FALSE)-AB85)</f>
        <v>-</v>
      </c>
      <c r="BU85" s="91" t="str">
        <f>IF(AC85="-","-",VLOOKUP($E85,CTPit!$E$10:$AW$175,BU$9,FALSE)-AC85)</f>
        <v>-</v>
      </c>
      <c r="BV85" s="91" t="str">
        <f>IF(AD85="-","-",VLOOKUP($E85,CTPit!$E$10:$AW$175,BV$9,FALSE)-AD85)</f>
        <v>-</v>
      </c>
      <c r="BW85" s="91" t="str">
        <f>IF(AE85="-","-",VLOOKUP($E85,CTPit!$E$10:$AW$175,BW$9,FALSE)-AE85)</f>
        <v>-</v>
      </c>
      <c r="BX85" s="91" t="str">
        <f>IF(AF85="-","-",VLOOKUP($E85,CTPit!$E$10:$AW$175,BX$9,FALSE)-AF85)</f>
        <v>-</v>
      </c>
      <c r="BY85" s="91" t="str">
        <f>IF(AG85="-","-",VLOOKUP($E85,CTPit!$E$10:$AW$175,BY$9,FALSE)-AG85)</f>
        <v>-</v>
      </c>
      <c r="BZ85" s="91" t="str">
        <f>IF(AH85="-","-",VLOOKUP($E85,CTPit!$E$10:$AW$175,BZ$9,FALSE)-AH85)</f>
        <v>-</v>
      </c>
      <c r="CA85" s="91" t="str">
        <f>IF(AI85="-","-",VLOOKUP($E85,CTPit!$E$10:$AW$175,CA$9,FALSE)-AI85)</f>
        <v>-</v>
      </c>
      <c r="CB85" s="91" t="str">
        <f>IF(AJ85="-","-",VLOOKUP($E85,CTPit!$E$10:$AW$175,CB$9,FALSE)-AJ85)</f>
        <v>-</v>
      </c>
      <c r="CC85" s="91" t="str">
        <f>IF(AK85="-","-",VLOOKUP($E85,CTPit!$E$10:$AW$175,CC$9,FALSE)-AK85)</f>
        <v>-</v>
      </c>
      <c r="CD85" s="91" t="str">
        <f>IF(AL85="-","-",VLOOKUP($E85,CTPit!$E$10:$AW$175,CD$9,FALSE)-AL85)</f>
        <v>-</v>
      </c>
      <c r="CE85" s="91" t="str">
        <f>IF(AM85="-","-",VLOOKUP($E85,CTPit!$E$10:$AW$175,CE$9,FALSE)-AM85)</f>
        <v>-</v>
      </c>
      <c r="CF85" s="91" t="str">
        <f>IF(AN85="-","-",VLOOKUP($E85,CTPit!$E$10:$AW$175,CF$9,FALSE)-AN85)</f>
        <v>-</v>
      </c>
      <c r="CG85" s="91" t="str">
        <f>IF(AO85="-","-",VLOOKUP($E85,CTPit!$E$10:$AW$175,CG$9,FALSE)-AO85)</f>
        <v>-</v>
      </c>
      <c r="CH85" s="91" t="str">
        <f>IF(AP85="-","-",VLOOKUP($E85,CTPit!$E$10:$AW$175,CH$9,FALSE)-AP85)</f>
        <v>-</v>
      </c>
      <c r="CI85" s="91" t="str">
        <f>IF(AQ85="-","-",VLOOKUP($E85,CTPit!$E$10:$AW$175,CI$9,FALSE)-AQ85)</f>
        <v>-</v>
      </c>
      <c r="CJ85" s="91" t="str">
        <f>IF(AR85="-","-",VLOOKUP($E85,CTPit!$E$10:$AW$175,CJ$9,FALSE)-AR85)</f>
        <v>-</v>
      </c>
      <c r="CK85">
        <f t="shared" ref="CK85:CK92" si="48">SUM(BG85:CJ85)</f>
        <v>-1</v>
      </c>
    </row>
    <row r="86" spans="3:89">
      <c r="C86" t="str">
        <f t="shared" si="38"/>
        <v>K</v>
      </c>
      <c r="D86" t="s">
        <v>107</v>
      </c>
      <c r="E86" t="s">
        <v>448</v>
      </c>
      <c r="F86" t="s">
        <v>370</v>
      </c>
      <c r="G86" t="s">
        <v>316</v>
      </c>
      <c r="H86" s="3">
        <v>20</v>
      </c>
      <c r="I86" t="s">
        <v>103</v>
      </c>
      <c r="J86" t="s">
        <v>103</v>
      </c>
      <c r="K86" t="s">
        <v>47</v>
      </c>
      <c r="L86" s="3" t="s">
        <v>47</v>
      </c>
      <c r="M86" t="s">
        <v>224</v>
      </c>
      <c r="N86" t="s">
        <v>226</v>
      </c>
      <c r="O86" s="3">
        <v>4</v>
      </c>
      <c r="P86">
        <v>4</v>
      </c>
      <c r="Q86">
        <v>1</v>
      </c>
      <c r="R86" s="3">
        <v>5</v>
      </c>
      <c r="S86">
        <v>5</v>
      </c>
      <c r="T86">
        <v>2</v>
      </c>
      <c r="U86">
        <v>6</v>
      </c>
      <c r="V86">
        <v>6</v>
      </c>
      <c r="W86" t="s">
        <v>41</v>
      </c>
      <c r="X86" t="s">
        <v>41</v>
      </c>
      <c r="Y86">
        <v>3</v>
      </c>
      <c r="Z86">
        <v>5</v>
      </c>
      <c r="AA86" t="s">
        <v>41</v>
      </c>
      <c r="AB86" t="s">
        <v>41</v>
      </c>
      <c r="AC86" t="s">
        <v>41</v>
      </c>
      <c r="AD86" t="s">
        <v>41</v>
      </c>
      <c r="AE86" t="s">
        <v>41</v>
      </c>
      <c r="AF86" t="s">
        <v>41</v>
      </c>
      <c r="AG86" t="s">
        <v>41</v>
      </c>
      <c r="AH86" t="s">
        <v>41</v>
      </c>
      <c r="AI86" t="s">
        <v>41</v>
      </c>
      <c r="AJ86" t="s">
        <v>41</v>
      </c>
      <c r="AK86" t="s">
        <v>41</v>
      </c>
      <c r="AL86" t="s">
        <v>41</v>
      </c>
      <c r="AM86" t="s">
        <v>41</v>
      </c>
      <c r="AN86" t="s">
        <v>41</v>
      </c>
      <c r="AO86">
        <v>3</v>
      </c>
      <c r="AP86" s="3">
        <v>4</v>
      </c>
      <c r="AQ86" t="s">
        <v>41</v>
      </c>
      <c r="AR86" t="s">
        <v>41</v>
      </c>
      <c r="AS86" s="3" t="s">
        <v>242</v>
      </c>
      <c r="AT86">
        <v>7</v>
      </c>
      <c r="AU86" s="3">
        <v>0.5</v>
      </c>
      <c r="AV86" t="s">
        <v>41</v>
      </c>
      <c r="AW86" s="5" t="s">
        <v>45</v>
      </c>
      <c r="AX86" s="6">
        <f t="shared" si="39"/>
        <v>3.25</v>
      </c>
      <c r="AY86" s="9" t="str">
        <f t="shared" si="40"/>
        <v>Minors</v>
      </c>
      <c r="AZ86" s="9">
        <f t="shared" si="41"/>
        <v>4.25</v>
      </c>
      <c r="BA86" s="9" t="str">
        <f t="shared" si="42"/>
        <v>Bench</v>
      </c>
      <c r="BB86" s="9">
        <f t="shared" si="43"/>
        <v>4.25</v>
      </c>
      <c r="BC86" s="9" t="str">
        <f t="shared" si="44"/>
        <v>Bench</v>
      </c>
      <c r="BD86" s="84">
        <f t="shared" si="45"/>
        <v>3</v>
      </c>
      <c r="BE86" s="83">
        <f t="shared" si="46"/>
        <v>1</v>
      </c>
      <c r="BF86" t="str">
        <f t="shared" si="47"/>
        <v/>
      </c>
      <c r="BG86" s="91">
        <f>IF(O86="-","-",VLOOKUP($E86,CTPit!$E$10:$AW$175,BG$9,FALSE)-O86)</f>
        <v>0</v>
      </c>
      <c r="BH86" s="91">
        <f>IF(P86="-","-",VLOOKUP($E86,CTPit!$E$10:$AW$175,BH$9,FALSE)-P86)</f>
        <v>1</v>
      </c>
      <c r="BI86" s="91">
        <f>IF(Q86="-","-",VLOOKUP($E86,CTPit!$E$10:$AW$175,BI$9,FALSE)-Q86)</f>
        <v>0</v>
      </c>
      <c r="BJ86" s="91">
        <f>IF(R86="-","-",VLOOKUP($E86,CTPit!$E$10:$AW$175,BJ$9,FALSE)-R86)</f>
        <v>0</v>
      </c>
      <c r="BK86" s="91">
        <f>IF(S86="-","-",VLOOKUP($E86,CTPit!$E$10:$AW$175,BK$9,FALSE)-S86)</f>
        <v>0</v>
      </c>
      <c r="BL86" s="91">
        <f>IF(T86="-","-",VLOOKUP($E86,CTPit!$E$10:$AW$175,BL$9,FALSE)-T86)</f>
        <v>0</v>
      </c>
      <c r="BM86" s="91">
        <f>IF(U86="-","-",VLOOKUP($E86,CTPit!$E$10:$AW$175,BM$9,FALSE)-U86)</f>
        <v>0</v>
      </c>
      <c r="BN86" s="91">
        <f>IF(V86="-","-",VLOOKUP($E86,CTPit!$E$10:$AW$175,BN$9,FALSE)-V86)</f>
        <v>0</v>
      </c>
      <c r="BO86" s="91" t="str">
        <f>IF(W86="-","-",VLOOKUP($E86,CTPit!$E$10:$AW$175,BO$9,FALSE)-W86)</f>
        <v>-</v>
      </c>
      <c r="BP86" s="91" t="str">
        <f>IF(X86="-","-",VLOOKUP($E86,CTPit!$E$10:$AW$175,BP$9,FALSE)-X86)</f>
        <v>-</v>
      </c>
      <c r="BQ86" s="91">
        <f>IF(Y86="-","-",VLOOKUP($E86,CTPit!$E$10:$AW$175,BQ$9,FALSE)-Y86)</f>
        <v>1</v>
      </c>
      <c r="BR86" s="91">
        <f>IF(Z86="-","-",VLOOKUP($E86,CTPit!$E$10:$AW$175,BR$9,FALSE)-Z86)</f>
        <v>0</v>
      </c>
      <c r="BS86" s="91" t="str">
        <f>IF(AA86="-","-",VLOOKUP($E86,CTPit!$E$10:$AW$175,BS$9,FALSE)-AA86)</f>
        <v>-</v>
      </c>
      <c r="BT86" s="91" t="str">
        <f>IF(AB86="-","-",VLOOKUP($E86,CTPit!$E$10:$AW$175,BT$9,FALSE)-AB86)</f>
        <v>-</v>
      </c>
      <c r="BU86" s="91" t="str">
        <f>IF(AC86="-","-",VLOOKUP($E86,CTPit!$E$10:$AW$175,BU$9,FALSE)-AC86)</f>
        <v>-</v>
      </c>
      <c r="BV86" s="91" t="str">
        <f>IF(AD86="-","-",VLOOKUP($E86,CTPit!$E$10:$AW$175,BV$9,FALSE)-AD86)</f>
        <v>-</v>
      </c>
      <c r="BW86" s="91" t="str">
        <f>IF(AE86="-","-",VLOOKUP($E86,CTPit!$E$10:$AW$175,BW$9,FALSE)-AE86)</f>
        <v>-</v>
      </c>
      <c r="BX86" s="91" t="str">
        <f>IF(AF86="-","-",VLOOKUP($E86,CTPit!$E$10:$AW$175,BX$9,FALSE)-AF86)</f>
        <v>-</v>
      </c>
      <c r="BY86" s="91" t="str">
        <f>IF(AG86="-","-",VLOOKUP($E86,CTPit!$E$10:$AW$175,BY$9,FALSE)-AG86)</f>
        <v>-</v>
      </c>
      <c r="BZ86" s="91" t="str">
        <f>IF(AH86="-","-",VLOOKUP($E86,CTPit!$E$10:$AW$175,BZ$9,FALSE)-AH86)</f>
        <v>-</v>
      </c>
      <c r="CA86" s="91" t="str">
        <f>IF(AI86="-","-",VLOOKUP($E86,CTPit!$E$10:$AW$175,CA$9,FALSE)-AI86)</f>
        <v>-</v>
      </c>
      <c r="CB86" s="91" t="str">
        <f>IF(AJ86="-","-",VLOOKUP($E86,CTPit!$E$10:$AW$175,CB$9,FALSE)-AJ86)</f>
        <v>-</v>
      </c>
      <c r="CC86" s="91" t="str">
        <f>IF(AK86="-","-",VLOOKUP($E86,CTPit!$E$10:$AW$175,CC$9,FALSE)-AK86)</f>
        <v>-</v>
      </c>
      <c r="CD86" s="91" t="str">
        <f>IF(AL86="-","-",VLOOKUP($E86,CTPit!$E$10:$AW$175,CD$9,FALSE)-AL86)</f>
        <v>-</v>
      </c>
      <c r="CE86" s="91" t="str">
        <f>IF(AM86="-","-",VLOOKUP($E86,CTPit!$E$10:$AW$175,CE$9,FALSE)-AM86)</f>
        <v>-</v>
      </c>
      <c r="CF86" s="91" t="str">
        <f>IF(AN86="-","-",VLOOKUP($E86,CTPit!$E$10:$AW$175,CF$9,FALSE)-AN86)</f>
        <v>-</v>
      </c>
      <c r="CG86" s="91">
        <f>IF(AO86="-","-",VLOOKUP($E86,CTPit!$E$10:$AW$175,CG$9,FALSE)-AO86)</f>
        <v>1</v>
      </c>
      <c r="CH86" s="91">
        <f>IF(AP86="-","-",VLOOKUP($E86,CTPit!$E$10:$AW$175,CH$9,FALSE)-AP86)</f>
        <v>1</v>
      </c>
      <c r="CI86" s="91" t="str">
        <f>IF(AQ86="-","-",VLOOKUP($E86,CTPit!$E$10:$AW$175,CI$9,FALSE)-AQ86)</f>
        <v>-</v>
      </c>
      <c r="CJ86" s="91" t="str">
        <f>IF(AR86="-","-",VLOOKUP($E86,CTPit!$E$10:$AW$175,CJ$9,FALSE)-AR86)</f>
        <v>-</v>
      </c>
      <c r="CK86">
        <f t="shared" si="48"/>
        <v>4</v>
      </c>
    </row>
    <row r="87" spans="3:89">
      <c r="C87" t="str">
        <f t="shared" si="38"/>
        <v>K</v>
      </c>
      <c r="D87" t="s">
        <v>107</v>
      </c>
      <c r="E87" t="s">
        <v>435</v>
      </c>
      <c r="F87" t="s">
        <v>370</v>
      </c>
      <c r="G87" t="s">
        <v>316</v>
      </c>
      <c r="H87" s="3">
        <v>21</v>
      </c>
      <c r="I87" t="s">
        <v>103</v>
      </c>
      <c r="J87" t="s">
        <v>103</v>
      </c>
      <c r="K87" t="s">
        <v>47</v>
      </c>
      <c r="L87" s="3" t="s">
        <v>47</v>
      </c>
      <c r="M87" t="s">
        <v>223</v>
      </c>
      <c r="N87" t="s">
        <v>223</v>
      </c>
      <c r="O87" s="3">
        <v>3</v>
      </c>
      <c r="P87">
        <v>4</v>
      </c>
      <c r="Q87">
        <v>2</v>
      </c>
      <c r="R87" s="3">
        <v>3</v>
      </c>
      <c r="S87">
        <v>4</v>
      </c>
      <c r="T87">
        <v>5</v>
      </c>
      <c r="U87">
        <v>4</v>
      </c>
      <c r="V87">
        <v>4</v>
      </c>
      <c r="W87">
        <v>2</v>
      </c>
      <c r="X87">
        <v>3</v>
      </c>
      <c r="Y87">
        <v>3</v>
      </c>
      <c r="Z87">
        <v>3</v>
      </c>
      <c r="AA87" t="s">
        <v>41</v>
      </c>
      <c r="AB87" t="s">
        <v>41</v>
      </c>
      <c r="AC87" t="s">
        <v>41</v>
      </c>
      <c r="AD87" t="s">
        <v>41</v>
      </c>
      <c r="AE87">
        <v>3</v>
      </c>
      <c r="AF87">
        <v>3</v>
      </c>
      <c r="AG87" t="s">
        <v>41</v>
      </c>
      <c r="AH87" t="s">
        <v>41</v>
      </c>
      <c r="AI87" t="s">
        <v>41</v>
      </c>
      <c r="AJ87" t="s">
        <v>41</v>
      </c>
      <c r="AK87" t="s">
        <v>41</v>
      </c>
      <c r="AL87" t="s">
        <v>41</v>
      </c>
      <c r="AM87" t="s">
        <v>41</v>
      </c>
      <c r="AN87" t="s">
        <v>41</v>
      </c>
      <c r="AO87" t="s">
        <v>41</v>
      </c>
      <c r="AP87" s="3" t="s">
        <v>41</v>
      </c>
      <c r="AQ87" t="s">
        <v>41</v>
      </c>
      <c r="AR87" t="s">
        <v>41</v>
      </c>
      <c r="AS87" s="3" t="s">
        <v>0</v>
      </c>
      <c r="AT87">
        <v>5</v>
      </c>
      <c r="AU87" s="3">
        <v>0.45</v>
      </c>
      <c r="AV87" t="s">
        <v>41</v>
      </c>
      <c r="AW87" s="5" t="s">
        <v>45</v>
      </c>
      <c r="AX87" s="6">
        <f t="shared" si="39"/>
        <v>3.25</v>
      </c>
      <c r="AY87" s="9" t="str">
        <f t="shared" si="40"/>
        <v>Minors</v>
      </c>
      <c r="AZ87" s="9">
        <f t="shared" si="41"/>
        <v>4.25</v>
      </c>
      <c r="BA87" s="9" t="str">
        <f t="shared" si="42"/>
        <v>Bench</v>
      </c>
      <c r="BB87" s="9">
        <f t="shared" si="43"/>
        <v>4.25</v>
      </c>
      <c r="BC87" s="9" t="str">
        <f t="shared" si="44"/>
        <v>Bench</v>
      </c>
      <c r="BD87" s="84">
        <f t="shared" si="45"/>
        <v>4</v>
      </c>
      <c r="BE87" s="83">
        <f t="shared" si="46"/>
        <v>0</v>
      </c>
      <c r="BF87" t="str">
        <f t="shared" si="47"/>
        <v/>
      </c>
      <c r="BG87" s="91" t="e">
        <f>IF(O87="-","-",VLOOKUP($E87,CTPit!$E$10:$AW$175,BG$9,FALSE)-O87)</f>
        <v>#N/A</v>
      </c>
      <c r="BH87" s="91" t="e">
        <f>IF(P87="-","-",VLOOKUP($E87,CTPit!$E$10:$AW$175,BH$9,FALSE)-P87)</f>
        <v>#N/A</v>
      </c>
      <c r="BI87" s="91" t="e">
        <f>IF(Q87="-","-",VLOOKUP($E87,CTPit!$E$10:$AW$175,BI$9,FALSE)-Q87)</f>
        <v>#N/A</v>
      </c>
      <c r="BJ87" s="91" t="e">
        <f>IF(R87="-","-",VLOOKUP($E87,CTPit!$E$10:$AW$175,BJ$9,FALSE)-R87)</f>
        <v>#N/A</v>
      </c>
      <c r="BK87" s="91" t="e">
        <f>IF(S87="-","-",VLOOKUP($E87,CTPit!$E$10:$AW$175,BK$9,FALSE)-S87)</f>
        <v>#N/A</v>
      </c>
      <c r="BL87" s="91" t="e">
        <f>IF(T87="-","-",VLOOKUP($E87,CTPit!$E$10:$AW$175,BL$9,FALSE)-T87)</f>
        <v>#N/A</v>
      </c>
      <c r="BM87" s="91" t="e">
        <f>IF(U87="-","-",VLOOKUP($E87,CTPit!$E$10:$AW$175,BM$9,FALSE)-U87)</f>
        <v>#N/A</v>
      </c>
      <c r="BN87" s="91" t="e">
        <f>IF(V87="-","-",VLOOKUP($E87,CTPit!$E$10:$AW$175,BN$9,FALSE)-V87)</f>
        <v>#N/A</v>
      </c>
      <c r="BO87" s="91" t="e">
        <f>IF(W87="-","-",VLOOKUP($E87,CTPit!$E$10:$AW$175,BO$9,FALSE)-W87)</f>
        <v>#N/A</v>
      </c>
      <c r="BP87" s="91" t="e">
        <f>IF(X87="-","-",VLOOKUP($E87,CTPit!$E$10:$AW$175,BP$9,FALSE)-X87)</f>
        <v>#N/A</v>
      </c>
      <c r="BQ87" s="91" t="e">
        <f>IF(Y87="-","-",VLOOKUP($E87,CTPit!$E$10:$AW$175,BQ$9,FALSE)-Y87)</f>
        <v>#N/A</v>
      </c>
      <c r="BR87" s="91" t="e">
        <f>IF(Z87="-","-",VLOOKUP($E87,CTPit!$E$10:$AW$175,BR$9,FALSE)-Z87)</f>
        <v>#N/A</v>
      </c>
      <c r="BS87" s="91" t="str">
        <f>IF(AA87="-","-",VLOOKUP($E87,CTPit!$E$10:$AW$175,BS$9,FALSE)-AA87)</f>
        <v>-</v>
      </c>
      <c r="BT87" s="91" t="str">
        <f>IF(AB87="-","-",VLOOKUP($E87,CTPit!$E$10:$AW$175,BT$9,FALSE)-AB87)</f>
        <v>-</v>
      </c>
      <c r="BU87" s="91" t="str">
        <f>IF(AC87="-","-",VLOOKUP($E87,CTPit!$E$10:$AW$175,BU$9,FALSE)-AC87)</f>
        <v>-</v>
      </c>
      <c r="BV87" s="91" t="str">
        <f>IF(AD87="-","-",VLOOKUP($E87,CTPit!$E$10:$AW$175,BV$9,FALSE)-AD87)</f>
        <v>-</v>
      </c>
      <c r="BW87" s="91" t="e">
        <f>IF(AE87="-","-",VLOOKUP($E87,CTPit!$E$10:$AW$175,BW$9,FALSE)-AE87)</f>
        <v>#N/A</v>
      </c>
      <c r="BX87" s="91" t="e">
        <f>IF(AF87="-","-",VLOOKUP($E87,CTPit!$E$10:$AW$175,BX$9,FALSE)-AF87)</f>
        <v>#N/A</v>
      </c>
      <c r="BY87" s="91" t="str">
        <f>IF(AG87="-","-",VLOOKUP($E87,CTPit!$E$10:$AW$175,BY$9,FALSE)-AG87)</f>
        <v>-</v>
      </c>
      <c r="BZ87" s="91" t="str">
        <f>IF(AH87="-","-",VLOOKUP($E87,CTPit!$E$10:$AW$175,BZ$9,FALSE)-AH87)</f>
        <v>-</v>
      </c>
      <c r="CA87" s="91" t="str">
        <f>IF(AI87="-","-",VLOOKUP($E87,CTPit!$E$10:$AW$175,CA$9,FALSE)-AI87)</f>
        <v>-</v>
      </c>
      <c r="CB87" s="91" t="str">
        <f>IF(AJ87="-","-",VLOOKUP($E87,CTPit!$E$10:$AW$175,CB$9,FALSE)-AJ87)</f>
        <v>-</v>
      </c>
      <c r="CC87" s="91" t="str">
        <f>IF(AK87="-","-",VLOOKUP($E87,CTPit!$E$10:$AW$175,CC$9,FALSE)-AK87)</f>
        <v>-</v>
      </c>
      <c r="CD87" s="91" t="str">
        <f>IF(AL87="-","-",VLOOKUP($E87,CTPit!$E$10:$AW$175,CD$9,FALSE)-AL87)</f>
        <v>-</v>
      </c>
      <c r="CE87" s="91" t="str">
        <f>IF(AM87="-","-",VLOOKUP($E87,CTPit!$E$10:$AW$175,CE$9,FALSE)-AM87)</f>
        <v>-</v>
      </c>
      <c r="CF87" s="91" t="str">
        <f>IF(AN87="-","-",VLOOKUP($E87,CTPit!$E$10:$AW$175,CF$9,FALSE)-AN87)</f>
        <v>-</v>
      </c>
      <c r="CG87" s="91" t="str">
        <f>IF(AO87="-","-",VLOOKUP($E87,CTPit!$E$10:$AW$175,CG$9,FALSE)-AO87)</f>
        <v>-</v>
      </c>
      <c r="CH87" s="91" t="str">
        <f>IF(AP87="-","-",VLOOKUP($E87,CTPit!$E$10:$AW$175,CH$9,FALSE)-AP87)</f>
        <v>-</v>
      </c>
      <c r="CI87" s="91" t="str">
        <f>IF(AQ87="-","-",VLOOKUP($E87,CTPit!$E$10:$AW$175,CI$9,FALSE)-AQ87)</f>
        <v>-</v>
      </c>
      <c r="CJ87" s="91" t="str">
        <f>IF(AR87="-","-",VLOOKUP($E87,CTPit!$E$10:$AW$175,CJ$9,FALSE)-AR87)</f>
        <v>-</v>
      </c>
      <c r="CK87" t="e">
        <f t="shared" si="48"/>
        <v>#N/A</v>
      </c>
    </row>
    <row r="88" spans="3:89">
      <c r="C88" t="str">
        <f t="shared" si="38"/>
        <v>K</v>
      </c>
      <c r="D88" t="s">
        <v>108</v>
      </c>
      <c r="E88" t="s">
        <v>529</v>
      </c>
      <c r="F88" t="s">
        <v>370</v>
      </c>
      <c r="G88" t="s">
        <v>316</v>
      </c>
      <c r="H88" s="3">
        <v>18</v>
      </c>
      <c r="I88" t="s">
        <v>104</v>
      </c>
      <c r="J88" t="s">
        <v>104</v>
      </c>
      <c r="K88" t="s">
        <v>47</v>
      </c>
      <c r="L88" s="3" t="s">
        <v>40</v>
      </c>
      <c r="M88" t="s">
        <v>225</v>
      </c>
      <c r="N88" t="s">
        <v>223</v>
      </c>
      <c r="O88" s="3">
        <v>2</v>
      </c>
      <c r="P88">
        <v>5</v>
      </c>
      <c r="Q88">
        <v>1</v>
      </c>
      <c r="R88" s="3">
        <v>6</v>
      </c>
      <c r="S88">
        <v>7</v>
      </c>
      <c r="T88">
        <v>5</v>
      </c>
      <c r="U88" t="s">
        <v>41</v>
      </c>
      <c r="V88" t="s">
        <v>41</v>
      </c>
      <c r="W88">
        <v>1</v>
      </c>
      <c r="X88">
        <v>5</v>
      </c>
      <c r="Y88">
        <v>3</v>
      </c>
      <c r="Z88">
        <v>6</v>
      </c>
      <c r="AA88">
        <v>3</v>
      </c>
      <c r="AB88">
        <v>3</v>
      </c>
      <c r="AC88" t="s">
        <v>41</v>
      </c>
      <c r="AD88" t="s">
        <v>41</v>
      </c>
      <c r="AE88" t="s">
        <v>41</v>
      </c>
      <c r="AF88" t="s">
        <v>41</v>
      </c>
      <c r="AG88">
        <v>4</v>
      </c>
      <c r="AH88">
        <v>7</v>
      </c>
      <c r="AI88" t="s">
        <v>41</v>
      </c>
      <c r="AJ88" t="s">
        <v>41</v>
      </c>
      <c r="AK88" t="s">
        <v>41</v>
      </c>
      <c r="AL88" t="s">
        <v>41</v>
      </c>
      <c r="AM88" t="s">
        <v>41</v>
      </c>
      <c r="AN88" t="s">
        <v>41</v>
      </c>
      <c r="AO88" t="s">
        <v>41</v>
      </c>
      <c r="AP88" s="3" t="s">
        <v>41</v>
      </c>
      <c r="AQ88" t="s">
        <v>41</v>
      </c>
      <c r="AR88" t="s">
        <v>41</v>
      </c>
      <c r="AS88" s="3" t="s">
        <v>15</v>
      </c>
      <c r="AT88">
        <v>7</v>
      </c>
      <c r="AU88" s="3">
        <v>0.59</v>
      </c>
      <c r="AV88" t="s">
        <v>41</v>
      </c>
      <c r="AW88" s="5">
        <v>0</v>
      </c>
      <c r="AX88" s="6">
        <f t="shared" si="39"/>
        <v>3.1666666666666665</v>
      </c>
      <c r="AY88" s="9" t="str">
        <f t="shared" si="40"/>
        <v>Minors</v>
      </c>
      <c r="AZ88" s="9">
        <f t="shared" si="41"/>
        <v>6.75</v>
      </c>
      <c r="BA88" s="9" t="str">
        <f t="shared" si="42"/>
        <v>GoodReg</v>
      </c>
      <c r="BB88" s="9">
        <f t="shared" si="43"/>
        <v>6.75</v>
      </c>
      <c r="BC88" s="9" t="str">
        <f t="shared" si="44"/>
        <v>GoodReg</v>
      </c>
      <c r="BD88" s="84">
        <f t="shared" si="45"/>
        <v>4</v>
      </c>
      <c r="BE88" s="83">
        <f t="shared" si="46"/>
        <v>1</v>
      </c>
      <c r="BF88" t="str">
        <f t="shared" si="47"/>
        <v/>
      </c>
      <c r="BG88" s="91">
        <f>IF(O88="-","-",VLOOKUP($E88,CTPit!$E$10:$AW$175,BG$9,FALSE)-O88)</f>
        <v>1</v>
      </c>
      <c r="BH88" s="91">
        <f>IF(P88="-","-",VLOOKUP($E88,CTPit!$E$10:$AW$175,BH$9,FALSE)-P88)</f>
        <v>0</v>
      </c>
      <c r="BI88" s="91">
        <f>IF(Q88="-","-",VLOOKUP($E88,CTPit!$E$10:$AW$175,BI$9,FALSE)-Q88)</f>
        <v>0</v>
      </c>
      <c r="BJ88" s="91">
        <f>IF(R88="-","-",VLOOKUP($E88,CTPit!$E$10:$AW$175,BJ$9,FALSE)-R88)</f>
        <v>-1</v>
      </c>
      <c r="BK88" s="91">
        <f>IF(S88="-","-",VLOOKUP($E88,CTPit!$E$10:$AW$175,BK$9,FALSE)-S88)</f>
        <v>-1</v>
      </c>
      <c r="BL88" s="91">
        <f>IF(T88="-","-",VLOOKUP($E88,CTPit!$E$10:$AW$175,BL$9,FALSE)-T88)</f>
        <v>-2</v>
      </c>
      <c r="BM88" s="91" t="str">
        <f>IF(U88="-","-",VLOOKUP($E88,CTPit!$E$10:$AW$175,BM$9,FALSE)-U88)</f>
        <v>-</v>
      </c>
      <c r="BN88" s="91" t="str">
        <f>IF(V88="-","-",VLOOKUP($E88,CTPit!$E$10:$AW$175,BN$9,FALSE)-V88)</f>
        <v>-</v>
      </c>
      <c r="BO88" s="91">
        <f>IF(W88="-","-",VLOOKUP($E88,CTPit!$E$10:$AW$175,BO$9,FALSE)-W88)</f>
        <v>0</v>
      </c>
      <c r="BP88" s="91">
        <f>IF(X88="-","-",VLOOKUP($E88,CTPit!$E$10:$AW$175,BP$9,FALSE)-X88)</f>
        <v>-2</v>
      </c>
      <c r="BQ88" s="91">
        <f>IF(Y88="-","-",VLOOKUP($E88,CTPit!$E$10:$AW$175,BQ$9,FALSE)-Y88)</f>
        <v>0</v>
      </c>
      <c r="BR88" s="91">
        <f>IF(Z88="-","-",VLOOKUP($E88,CTPit!$E$10:$AW$175,BR$9,FALSE)-Z88)</f>
        <v>-1</v>
      </c>
      <c r="BS88" s="91">
        <f>IF(AA88="-","-",VLOOKUP($E88,CTPit!$E$10:$AW$175,BS$9,FALSE)-AA88)</f>
        <v>0</v>
      </c>
      <c r="BT88" s="91">
        <f>IF(AB88="-","-",VLOOKUP($E88,CTPit!$E$10:$AW$175,BT$9,FALSE)-AB88)</f>
        <v>0</v>
      </c>
      <c r="BU88" s="91" t="str">
        <f>IF(AC88="-","-",VLOOKUP($E88,CTPit!$E$10:$AW$175,BU$9,FALSE)-AC88)</f>
        <v>-</v>
      </c>
      <c r="BV88" s="91" t="str">
        <f>IF(AD88="-","-",VLOOKUP($E88,CTPit!$E$10:$AW$175,BV$9,FALSE)-AD88)</f>
        <v>-</v>
      </c>
      <c r="BW88" s="91" t="str">
        <f>IF(AE88="-","-",VLOOKUP($E88,CTPit!$E$10:$AW$175,BW$9,FALSE)-AE88)</f>
        <v>-</v>
      </c>
      <c r="BX88" s="91" t="str">
        <f>IF(AF88="-","-",VLOOKUP($E88,CTPit!$E$10:$AW$175,BX$9,FALSE)-AF88)</f>
        <v>-</v>
      </c>
      <c r="BY88" s="91">
        <f>IF(AG88="-","-",VLOOKUP($E88,CTPit!$E$10:$AW$175,BY$9,FALSE)-AG88)</f>
        <v>0</v>
      </c>
      <c r="BZ88" s="91">
        <f>IF(AH88="-","-",VLOOKUP($E88,CTPit!$E$10:$AW$175,BZ$9,FALSE)-AH88)</f>
        <v>-1</v>
      </c>
      <c r="CA88" s="91" t="str">
        <f>IF(AI88="-","-",VLOOKUP($E88,CTPit!$E$10:$AW$175,CA$9,FALSE)-AI88)</f>
        <v>-</v>
      </c>
      <c r="CB88" s="91" t="str">
        <f>IF(AJ88="-","-",VLOOKUP($E88,CTPit!$E$10:$AW$175,CB$9,FALSE)-AJ88)</f>
        <v>-</v>
      </c>
      <c r="CC88" s="91" t="str">
        <f>IF(AK88="-","-",VLOOKUP($E88,CTPit!$E$10:$AW$175,CC$9,FALSE)-AK88)</f>
        <v>-</v>
      </c>
      <c r="CD88" s="91" t="str">
        <f>IF(AL88="-","-",VLOOKUP($E88,CTPit!$E$10:$AW$175,CD$9,FALSE)-AL88)</f>
        <v>-</v>
      </c>
      <c r="CE88" s="91" t="str">
        <f>IF(AM88="-","-",VLOOKUP($E88,CTPit!$E$10:$AW$175,CE$9,FALSE)-AM88)</f>
        <v>-</v>
      </c>
      <c r="CF88" s="91" t="str">
        <f>IF(AN88="-","-",VLOOKUP($E88,CTPit!$E$10:$AW$175,CF$9,FALSE)-AN88)</f>
        <v>-</v>
      </c>
      <c r="CG88" s="91" t="str">
        <f>IF(AO88="-","-",VLOOKUP($E88,CTPit!$E$10:$AW$175,CG$9,FALSE)-AO88)</f>
        <v>-</v>
      </c>
      <c r="CH88" s="91" t="str">
        <f>IF(AP88="-","-",VLOOKUP($E88,CTPit!$E$10:$AW$175,CH$9,FALSE)-AP88)</f>
        <v>-</v>
      </c>
      <c r="CI88" s="91" t="str">
        <f>IF(AQ88="-","-",VLOOKUP($E88,CTPit!$E$10:$AW$175,CI$9,FALSE)-AQ88)</f>
        <v>-</v>
      </c>
      <c r="CJ88" s="91" t="str">
        <f>IF(AR88="-","-",VLOOKUP($E88,CTPit!$E$10:$AW$175,CJ$9,FALSE)-AR88)</f>
        <v>-</v>
      </c>
      <c r="CK88">
        <f t="shared" si="48"/>
        <v>-7</v>
      </c>
    </row>
    <row r="89" spans="3:89">
      <c r="C89" t="str">
        <f t="shared" si="38"/>
        <v>K</v>
      </c>
      <c r="D89" t="s">
        <v>107</v>
      </c>
      <c r="E89" t="s">
        <v>533</v>
      </c>
      <c r="F89" t="s">
        <v>370</v>
      </c>
      <c r="G89" t="s">
        <v>316</v>
      </c>
      <c r="H89" s="3">
        <v>18</v>
      </c>
      <c r="I89" t="s">
        <v>106</v>
      </c>
      <c r="J89" t="s">
        <v>104</v>
      </c>
      <c r="K89" t="s">
        <v>47</v>
      </c>
      <c r="L89" s="3" t="s">
        <v>42</v>
      </c>
      <c r="M89" t="s">
        <v>223</v>
      </c>
      <c r="N89" t="s">
        <v>226</v>
      </c>
      <c r="O89" s="3">
        <v>3</v>
      </c>
      <c r="P89">
        <v>4</v>
      </c>
      <c r="Q89">
        <v>1</v>
      </c>
      <c r="R89" s="3">
        <v>4</v>
      </c>
      <c r="S89">
        <v>5</v>
      </c>
      <c r="T89">
        <v>5</v>
      </c>
      <c r="U89">
        <v>3</v>
      </c>
      <c r="V89">
        <v>5</v>
      </c>
      <c r="W89">
        <v>1</v>
      </c>
      <c r="X89">
        <v>2</v>
      </c>
      <c r="Y89" t="s">
        <v>41</v>
      </c>
      <c r="Z89" t="s">
        <v>41</v>
      </c>
      <c r="AA89" t="s">
        <v>41</v>
      </c>
      <c r="AB89" t="s">
        <v>41</v>
      </c>
      <c r="AC89" t="s">
        <v>41</v>
      </c>
      <c r="AD89" t="s">
        <v>41</v>
      </c>
      <c r="AE89" t="s">
        <v>41</v>
      </c>
      <c r="AF89" t="s">
        <v>41</v>
      </c>
      <c r="AG89">
        <v>3</v>
      </c>
      <c r="AH89">
        <v>4</v>
      </c>
      <c r="AI89" t="s">
        <v>41</v>
      </c>
      <c r="AJ89" t="s">
        <v>41</v>
      </c>
      <c r="AK89" t="s">
        <v>41</v>
      </c>
      <c r="AL89" t="s">
        <v>41</v>
      </c>
      <c r="AM89" t="s">
        <v>41</v>
      </c>
      <c r="AN89" t="s">
        <v>41</v>
      </c>
      <c r="AO89" t="s">
        <v>41</v>
      </c>
      <c r="AP89" s="3" t="s">
        <v>41</v>
      </c>
      <c r="AQ89" t="s">
        <v>41</v>
      </c>
      <c r="AR89" t="s">
        <v>41</v>
      </c>
      <c r="AS89" s="3" t="s">
        <v>7</v>
      </c>
      <c r="AT89">
        <v>5</v>
      </c>
      <c r="AU89" s="3">
        <v>0.48</v>
      </c>
      <c r="AV89" t="s">
        <v>41</v>
      </c>
      <c r="AW89" s="5">
        <v>0</v>
      </c>
      <c r="AX89" s="6">
        <f t="shared" si="39"/>
        <v>2.6666666666666665</v>
      </c>
      <c r="AY89" s="9" t="str">
        <f t="shared" si="40"/>
        <v>Minors</v>
      </c>
      <c r="AZ89" s="9">
        <f t="shared" si="41"/>
        <v>4.666666666666667</v>
      </c>
      <c r="BA89" s="9" t="str">
        <f t="shared" si="42"/>
        <v>Bench</v>
      </c>
      <c r="BB89" s="9">
        <f t="shared" si="43"/>
        <v>4.666666666666667</v>
      </c>
      <c r="BC89" s="9" t="str">
        <f t="shared" si="44"/>
        <v>Bench</v>
      </c>
      <c r="BD89" s="84">
        <f t="shared" si="45"/>
        <v>3</v>
      </c>
      <c r="BE89" s="83">
        <f t="shared" si="46"/>
        <v>0</v>
      </c>
      <c r="BF89" t="str">
        <f t="shared" si="47"/>
        <v/>
      </c>
      <c r="BG89" s="91">
        <f>IF(O89="-","-",VLOOKUP($E89,CTPit!$E$10:$AW$175,BG$9,FALSE)-O89)</f>
        <v>0</v>
      </c>
      <c r="BH89" s="91">
        <f>IF(P89="-","-",VLOOKUP($E89,CTPit!$E$10:$AW$175,BH$9,FALSE)-P89)</f>
        <v>0</v>
      </c>
      <c r="BI89" s="91">
        <f>IF(Q89="-","-",VLOOKUP($E89,CTPit!$E$10:$AW$175,BI$9,FALSE)-Q89)</f>
        <v>0</v>
      </c>
      <c r="BJ89" s="91">
        <f>IF(R89="-","-",VLOOKUP($E89,CTPit!$E$10:$AW$175,BJ$9,FALSE)-R89)</f>
        <v>0</v>
      </c>
      <c r="BK89" s="91">
        <f>IF(S89="-","-",VLOOKUP($E89,CTPit!$E$10:$AW$175,BK$9,FALSE)-S89)</f>
        <v>-1</v>
      </c>
      <c r="BL89" s="91">
        <f>IF(T89="-","-",VLOOKUP($E89,CTPit!$E$10:$AW$175,BL$9,FALSE)-T89)</f>
        <v>-1</v>
      </c>
      <c r="BM89" s="91">
        <f>IF(U89="-","-",VLOOKUP($E89,CTPit!$E$10:$AW$175,BM$9,FALSE)-U89)</f>
        <v>0</v>
      </c>
      <c r="BN89" s="91">
        <f>IF(V89="-","-",VLOOKUP($E89,CTPit!$E$10:$AW$175,BN$9,FALSE)-V89)</f>
        <v>-1</v>
      </c>
      <c r="BO89" s="91">
        <f>IF(W89="-","-",VLOOKUP($E89,CTPit!$E$10:$AW$175,BO$9,FALSE)-W89)</f>
        <v>0</v>
      </c>
      <c r="BP89" s="91">
        <f>IF(X89="-","-",VLOOKUP($E89,CTPit!$E$10:$AW$175,BP$9,FALSE)-X89)</f>
        <v>0</v>
      </c>
      <c r="BQ89" s="91" t="str">
        <f>IF(Y89="-","-",VLOOKUP($E89,CTPit!$E$10:$AW$175,BQ$9,FALSE)-Y89)</f>
        <v>-</v>
      </c>
      <c r="BR89" s="91" t="str">
        <f>IF(Z89="-","-",VLOOKUP($E89,CTPit!$E$10:$AW$175,BR$9,FALSE)-Z89)</f>
        <v>-</v>
      </c>
      <c r="BS89" s="91" t="str">
        <f>IF(AA89="-","-",VLOOKUP($E89,CTPit!$E$10:$AW$175,BS$9,FALSE)-AA89)</f>
        <v>-</v>
      </c>
      <c r="BT89" s="91" t="str">
        <f>IF(AB89="-","-",VLOOKUP($E89,CTPit!$E$10:$AW$175,BT$9,FALSE)-AB89)</f>
        <v>-</v>
      </c>
      <c r="BU89" s="91" t="str">
        <f>IF(AC89="-","-",VLOOKUP($E89,CTPit!$E$10:$AW$175,BU$9,FALSE)-AC89)</f>
        <v>-</v>
      </c>
      <c r="BV89" s="91" t="str">
        <f>IF(AD89="-","-",VLOOKUP($E89,CTPit!$E$10:$AW$175,BV$9,FALSE)-AD89)</f>
        <v>-</v>
      </c>
      <c r="BW89" s="91" t="str">
        <f>IF(AE89="-","-",VLOOKUP($E89,CTPit!$E$10:$AW$175,BW$9,FALSE)-AE89)</f>
        <v>-</v>
      </c>
      <c r="BX89" s="91" t="str">
        <f>IF(AF89="-","-",VLOOKUP($E89,CTPit!$E$10:$AW$175,BX$9,FALSE)-AF89)</f>
        <v>-</v>
      </c>
      <c r="BY89" s="91">
        <f>IF(AG89="-","-",VLOOKUP($E89,CTPit!$E$10:$AW$175,BY$9,FALSE)-AG89)</f>
        <v>0</v>
      </c>
      <c r="BZ89" s="91">
        <f>IF(AH89="-","-",VLOOKUP($E89,CTPit!$E$10:$AW$175,BZ$9,FALSE)-AH89)</f>
        <v>0</v>
      </c>
      <c r="CA89" s="91" t="str">
        <f>IF(AI89="-","-",VLOOKUP($E89,CTPit!$E$10:$AW$175,CA$9,FALSE)-AI89)</f>
        <v>-</v>
      </c>
      <c r="CB89" s="91" t="str">
        <f>IF(AJ89="-","-",VLOOKUP($E89,CTPit!$E$10:$AW$175,CB$9,FALSE)-AJ89)</f>
        <v>-</v>
      </c>
      <c r="CC89" s="91" t="str">
        <f>IF(AK89="-","-",VLOOKUP($E89,CTPit!$E$10:$AW$175,CC$9,FALSE)-AK89)</f>
        <v>-</v>
      </c>
      <c r="CD89" s="91" t="str">
        <f>IF(AL89="-","-",VLOOKUP($E89,CTPit!$E$10:$AW$175,CD$9,FALSE)-AL89)</f>
        <v>-</v>
      </c>
      <c r="CE89" s="91" t="str">
        <f>IF(AM89="-","-",VLOOKUP($E89,CTPit!$E$10:$AW$175,CE$9,FALSE)-AM89)</f>
        <v>-</v>
      </c>
      <c r="CF89" s="91" t="str">
        <f>IF(AN89="-","-",VLOOKUP($E89,CTPit!$E$10:$AW$175,CF$9,FALSE)-AN89)</f>
        <v>-</v>
      </c>
      <c r="CG89" s="91" t="str">
        <f>IF(AO89="-","-",VLOOKUP($E89,CTPit!$E$10:$AW$175,CG$9,FALSE)-AO89)</f>
        <v>-</v>
      </c>
      <c r="CH89" s="91" t="str">
        <f>IF(AP89="-","-",VLOOKUP($E89,CTPit!$E$10:$AW$175,CH$9,FALSE)-AP89)</f>
        <v>-</v>
      </c>
      <c r="CI89" s="91" t="str">
        <f>IF(AQ89="-","-",VLOOKUP($E89,CTPit!$E$10:$AW$175,CI$9,FALSE)-AQ89)</f>
        <v>-</v>
      </c>
      <c r="CJ89" s="91" t="str">
        <f>IF(AR89="-","-",VLOOKUP($E89,CTPit!$E$10:$AW$175,CJ$9,FALSE)-AR89)</f>
        <v>-</v>
      </c>
      <c r="CK89">
        <f t="shared" si="48"/>
        <v>-3</v>
      </c>
    </row>
    <row r="90" spans="3:89">
      <c r="C90" t="str">
        <f t="shared" si="38"/>
        <v>K</v>
      </c>
      <c r="D90" t="s">
        <v>107</v>
      </c>
      <c r="E90" t="s">
        <v>534</v>
      </c>
      <c r="F90" t="s">
        <v>370</v>
      </c>
      <c r="G90" t="s">
        <v>316</v>
      </c>
      <c r="H90" s="3">
        <v>18</v>
      </c>
      <c r="I90" t="s">
        <v>106</v>
      </c>
      <c r="J90" t="s">
        <v>104</v>
      </c>
      <c r="K90" t="s">
        <v>47</v>
      </c>
      <c r="L90" s="3" t="s">
        <v>42</v>
      </c>
      <c r="M90" t="s">
        <v>227</v>
      </c>
      <c r="N90" t="s">
        <v>224</v>
      </c>
      <c r="O90" s="3">
        <v>2</v>
      </c>
      <c r="P90">
        <v>4</v>
      </c>
      <c r="Q90">
        <v>1</v>
      </c>
      <c r="R90" s="3">
        <v>4</v>
      </c>
      <c r="S90">
        <v>4</v>
      </c>
      <c r="T90">
        <v>6</v>
      </c>
      <c r="U90">
        <v>4</v>
      </c>
      <c r="V90">
        <v>5</v>
      </c>
      <c r="W90">
        <v>2</v>
      </c>
      <c r="X90">
        <v>4</v>
      </c>
      <c r="Y90" t="s">
        <v>41</v>
      </c>
      <c r="Z90" t="s">
        <v>41</v>
      </c>
      <c r="AA90">
        <v>3</v>
      </c>
      <c r="AB90">
        <v>4</v>
      </c>
      <c r="AC90" t="s">
        <v>41</v>
      </c>
      <c r="AD90" t="s">
        <v>41</v>
      </c>
      <c r="AE90" t="s">
        <v>41</v>
      </c>
      <c r="AF90" t="s">
        <v>41</v>
      </c>
      <c r="AG90" t="s">
        <v>41</v>
      </c>
      <c r="AH90" t="s">
        <v>41</v>
      </c>
      <c r="AI90" t="s">
        <v>41</v>
      </c>
      <c r="AJ90" t="s">
        <v>41</v>
      </c>
      <c r="AK90" t="s">
        <v>41</v>
      </c>
      <c r="AL90" t="s">
        <v>41</v>
      </c>
      <c r="AM90" t="s">
        <v>41</v>
      </c>
      <c r="AN90" t="s">
        <v>41</v>
      </c>
      <c r="AO90" t="s">
        <v>41</v>
      </c>
      <c r="AP90" s="3" t="s">
        <v>41</v>
      </c>
      <c r="AQ90" t="s">
        <v>41</v>
      </c>
      <c r="AR90" t="s">
        <v>41</v>
      </c>
      <c r="AS90" s="3" t="s">
        <v>3</v>
      </c>
      <c r="AT90">
        <v>5</v>
      </c>
      <c r="AU90" s="3">
        <v>0.49</v>
      </c>
      <c r="AV90" t="s">
        <v>41</v>
      </c>
      <c r="AW90" s="5">
        <v>0</v>
      </c>
      <c r="AX90" s="6">
        <f t="shared" si="39"/>
        <v>2.3333333333333335</v>
      </c>
      <c r="AY90" s="9" t="str">
        <f t="shared" si="40"/>
        <v>Minors</v>
      </c>
      <c r="AZ90" s="9">
        <f t="shared" si="41"/>
        <v>4.666666666666667</v>
      </c>
      <c r="BA90" s="9" t="str">
        <f t="shared" si="42"/>
        <v>Bench</v>
      </c>
      <c r="BB90" s="9">
        <f t="shared" si="43"/>
        <v>4.666666666666667</v>
      </c>
      <c r="BC90" s="9" t="str">
        <f t="shared" si="44"/>
        <v>Bench</v>
      </c>
      <c r="BD90" s="84">
        <f t="shared" si="45"/>
        <v>3</v>
      </c>
      <c r="BE90" s="83">
        <f t="shared" si="46"/>
        <v>0</v>
      </c>
      <c r="BF90" t="str">
        <f t="shared" si="47"/>
        <v/>
      </c>
      <c r="BG90" s="91">
        <f>IF(O90="-","-",VLOOKUP($E90,CTPit!$E$10:$AW$175,BG$9,FALSE)-O90)</f>
        <v>1</v>
      </c>
      <c r="BH90" s="91">
        <f>IF(P90="-","-",VLOOKUP($E90,CTPit!$E$10:$AW$175,BH$9,FALSE)-P90)</f>
        <v>0</v>
      </c>
      <c r="BI90" s="91">
        <f>IF(Q90="-","-",VLOOKUP($E90,CTPit!$E$10:$AW$175,BI$9,FALSE)-Q90)</f>
        <v>0</v>
      </c>
      <c r="BJ90" s="91">
        <f>IF(R90="-","-",VLOOKUP($E90,CTPit!$E$10:$AW$175,BJ$9,FALSE)-R90)</f>
        <v>-1</v>
      </c>
      <c r="BK90" s="91">
        <f>IF(S90="-","-",VLOOKUP($E90,CTPit!$E$10:$AW$175,BK$9,FALSE)-S90)</f>
        <v>0</v>
      </c>
      <c r="BL90" s="91">
        <f>IF(T90="-","-",VLOOKUP($E90,CTPit!$E$10:$AW$175,BL$9,FALSE)-T90)</f>
        <v>-2</v>
      </c>
      <c r="BM90" s="91">
        <f>IF(U90="-","-",VLOOKUP($E90,CTPit!$E$10:$AW$175,BM$9,FALSE)-U90)</f>
        <v>1</v>
      </c>
      <c r="BN90" s="91">
        <f>IF(V90="-","-",VLOOKUP($E90,CTPit!$E$10:$AW$175,BN$9,FALSE)-V90)</f>
        <v>0</v>
      </c>
      <c r="BO90" s="91">
        <f>IF(W90="-","-",VLOOKUP($E90,CTPit!$E$10:$AW$175,BO$9,FALSE)-W90)</f>
        <v>0</v>
      </c>
      <c r="BP90" s="91">
        <f>IF(X90="-","-",VLOOKUP($E90,CTPit!$E$10:$AW$175,BP$9,FALSE)-X90)</f>
        <v>-1</v>
      </c>
      <c r="BQ90" s="91" t="str">
        <f>IF(Y90="-","-",VLOOKUP($E90,CTPit!$E$10:$AW$175,BQ$9,FALSE)-Y90)</f>
        <v>-</v>
      </c>
      <c r="BR90" s="91" t="str">
        <f>IF(Z90="-","-",VLOOKUP($E90,CTPit!$E$10:$AW$175,BR$9,FALSE)-Z90)</f>
        <v>-</v>
      </c>
      <c r="BS90" s="91">
        <f>IF(AA90="-","-",VLOOKUP($E90,CTPit!$E$10:$AW$175,BS$9,FALSE)-AA90)</f>
        <v>0</v>
      </c>
      <c r="BT90" s="91">
        <f>IF(AB90="-","-",VLOOKUP($E90,CTPit!$E$10:$AW$175,BT$9,FALSE)-AB90)</f>
        <v>-1</v>
      </c>
      <c r="BU90" s="91" t="str">
        <f>IF(AC90="-","-",VLOOKUP($E90,CTPit!$E$10:$AW$175,BU$9,FALSE)-AC90)</f>
        <v>-</v>
      </c>
      <c r="BV90" s="91" t="str">
        <f>IF(AD90="-","-",VLOOKUP($E90,CTPit!$E$10:$AW$175,BV$9,FALSE)-AD90)</f>
        <v>-</v>
      </c>
      <c r="BW90" s="91" t="str">
        <f>IF(AE90="-","-",VLOOKUP($E90,CTPit!$E$10:$AW$175,BW$9,FALSE)-AE90)</f>
        <v>-</v>
      </c>
      <c r="BX90" s="91" t="str">
        <f>IF(AF90="-","-",VLOOKUP($E90,CTPit!$E$10:$AW$175,BX$9,FALSE)-AF90)</f>
        <v>-</v>
      </c>
      <c r="BY90" s="91" t="str">
        <f>IF(AG90="-","-",VLOOKUP($E90,CTPit!$E$10:$AW$175,BY$9,FALSE)-AG90)</f>
        <v>-</v>
      </c>
      <c r="BZ90" s="91" t="str">
        <f>IF(AH90="-","-",VLOOKUP($E90,CTPit!$E$10:$AW$175,BZ$9,FALSE)-AH90)</f>
        <v>-</v>
      </c>
      <c r="CA90" s="91" t="str">
        <f>IF(AI90="-","-",VLOOKUP($E90,CTPit!$E$10:$AW$175,CA$9,FALSE)-AI90)</f>
        <v>-</v>
      </c>
      <c r="CB90" s="91" t="str">
        <f>IF(AJ90="-","-",VLOOKUP($E90,CTPit!$E$10:$AW$175,CB$9,FALSE)-AJ90)</f>
        <v>-</v>
      </c>
      <c r="CC90" s="91" t="str">
        <f>IF(AK90="-","-",VLOOKUP($E90,CTPit!$E$10:$AW$175,CC$9,FALSE)-AK90)</f>
        <v>-</v>
      </c>
      <c r="CD90" s="91" t="str">
        <f>IF(AL90="-","-",VLOOKUP($E90,CTPit!$E$10:$AW$175,CD$9,FALSE)-AL90)</f>
        <v>-</v>
      </c>
      <c r="CE90" s="91" t="str">
        <f>IF(AM90="-","-",VLOOKUP($E90,CTPit!$E$10:$AW$175,CE$9,FALSE)-AM90)</f>
        <v>-</v>
      </c>
      <c r="CF90" s="91" t="str">
        <f>IF(AN90="-","-",VLOOKUP($E90,CTPit!$E$10:$AW$175,CF$9,FALSE)-AN90)</f>
        <v>-</v>
      </c>
      <c r="CG90" s="91" t="str">
        <f>IF(AO90="-","-",VLOOKUP($E90,CTPit!$E$10:$AW$175,CG$9,FALSE)-AO90)</f>
        <v>-</v>
      </c>
      <c r="CH90" s="91" t="str">
        <f>IF(AP90="-","-",VLOOKUP($E90,CTPit!$E$10:$AW$175,CH$9,FALSE)-AP90)</f>
        <v>-</v>
      </c>
      <c r="CI90" s="91" t="str">
        <f>IF(AQ90="-","-",VLOOKUP($E90,CTPit!$E$10:$AW$175,CI$9,FALSE)-AQ90)</f>
        <v>-</v>
      </c>
      <c r="CJ90" s="91" t="str">
        <f>IF(AR90="-","-",VLOOKUP($E90,CTPit!$E$10:$AW$175,CJ$9,FALSE)-AR90)</f>
        <v>-</v>
      </c>
      <c r="CK90">
        <f t="shared" si="48"/>
        <v>-3</v>
      </c>
    </row>
    <row r="91" spans="3:89">
      <c r="C91" t="str">
        <f t="shared" si="38"/>
        <v>K</v>
      </c>
      <c r="D91" t="s">
        <v>107</v>
      </c>
      <c r="E91" t="s">
        <v>535</v>
      </c>
      <c r="F91" t="s">
        <v>370</v>
      </c>
      <c r="G91" t="s">
        <v>316</v>
      </c>
      <c r="H91" s="3">
        <v>18</v>
      </c>
      <c r="I91" t="s">
        <v>104</v>
      </c>
      <c r="J91" t="s">
        <v>104</v>
      </c>
      <c r="K91" t="s">
        <v>47</v>
      </c>
      <c r="L91" s="3" t="s">
        <v>47</v>
      </c>
      <c r="M91" t="s">
        <v>226</v>
      </c>
      <c r="N91" t="s">
        <v>226</v>
      </c>
      <c r="O91" s="3">
        <v>1</v>
      </c>
      <c r="P91">
        <v>4</v>
      </c>
      <c r="Q91">
        <v>1</v>
      </c>
      <c r="R91" s="3">
        <v>3</v>
      </c>
      <c r="S91">
        <v>4</v>
      </c>
      <c r="T91">
        <v>4</v>
      </c>
      <c r="U91">
        <v>1</v>
      </c>
      <c r="V91">
        <v>2</v>
      </c>
      <c r="W91">
        <v>1</v>
      </c>
      <c r="X91">
        <v>4</v>
      </c>
      <c r="Y91">
        <v>1</v>
      </c>
      <c r="Z91">
        <v>3</v>
      </c>
      <c r="AA91" t="s">
        <v>41</v>
      </c>
      <c r="AB91" t="s">
        <v>41</v>
      </c>
      <c r="AC91" t="s">
        <v>41</v>
      </c>
      <c r="AD91" t="s">
        <v>41</v>
      </c>
      <c r="AE91">
        <v>2</v>
      </c>
      <c r="AF91">
        <v>3</v>
      </c>
      <c r="AG91" t="s">
        <v>41</v>
      </c>
      <c r="AH91" t="s">
        <v>41</v>
      </c>
      <c r="AI91" t="s">
        <v>41</v>
      </c>
      <c r="AJ91" t="s">
        <v>41</v>
      </c>
      <c r="AK91" t="s">
        <v>41</v>
      </c>
      <c r="AL91" t="s">
        <v>41</v>
      </c>
      <c r="AM91" t="s">
        <v>41</v>
      </c>
      <c r="AN91" t="s">
        <v>41</v>
      </c>
      <c r="AO91" t="s">
        <v>41</v>
      </c>
      <c r="AP91" s="3" t="s">
        <v>41</v>
      </c>
      <c r="AQ91" t="s">
        <v>41</v>
      </c>
      <c r="AR91" t="s">
        <v>41</v>
      </c>
      <c r="AS91" s="3" t="s">
        <v>536</v>
      </c>
      <c r="AT91">
        <v>10</v>
      </c>
      <c r="AU91" s="3">
        <v>0.52</v>
      </c>
      <c r="AV91" t="s">
        <v>41</v>
      </c>
      <c r="AW91" s="5">
        <v>0</v>
      </c>
      <c r="AX91" s="6">
        <f t="shared" si="39"/>
        <v>2.25</v>
      </c>
      <c r="AY91" s="9" t="str">
        <f t="shared" si="40"/>
        <v>Minors</v>
      </c>
      <c r="AZ91" s="9">
        <f t="shared" si="41"/>
        <v>3.9166666666666665</v>
      </c>
      <c r="BA91" s="9" t="str">
        <f t="shared" si="42"/>
        <v>Minors</v>
      </c>
      <c r="BB91" s="9">
        <f t="shared" si="43"/>
        <v>3.9166666666666665</v>
      </c>
      <c r="BC91" s="9" t="str">
        <f t="shared" si="44"/>
        <v>Minors</v>
      </c>
      <c r="BD91" s="84">
        <f t="shared" si="45"/>
        <v>4</v>
      </c>
      <c r="BE91" s="83">
        <f t="shared" si="46"/>
        <v>0</v>
      </c>
      <c r="BF91" t="str">
        <f t="shared" si="47"/>
        <v/>
      </c>
      <c r="BG91" s="91" t="e">
        <f>IF(O91="-","-",VLOOKUP($E91,CTPit!$E$10:$AW$175,BG$9,FALSE)-O91)</f>
        <v>#N/A</v>
      </c>
      <c r="BH91" s="91" t="e">
        <f>IF(P91="-","-",VLOOKUP($E91,CTPit!$E$10:$AW$175,BH$9,FALSE)-P91)</f>
        <v>#N/A</v>
      </c>
      <c r="BI91" s="91" t="e">
        <f>IF(Q91="-","-",VLOOKUP($E91,CTPit!$E$10:$AW$175,BI$9,FALSE)-Q91)</f>
        <v>#N/A</v>
      </c>
      <c r="BJ91" s="91" t="e">
        <f>IF(R91="-","-",VLOOKUP($E91,CTPit!$E$10:$AW$175,BJ$9,FALSE)-R91)</f>
        <v>#N/A</v>
      </c>
      <c r="BK91" s="91" t="e">
        <f>IF(S91="-","-",VLOOKUP($E91,CTPit!$E$10:$AW$175,BK$9,FALSE)-S91)</f>
        <v>#N/A</v>
      </c>
      <c r="BL91" s="91" t="e">
        <f>IF(T91="-","-",VLOOKUP($E91,CTPit!$E$10:$AW$175,BL$9,FALSE)-T91)</f>
        <v>#N/A</v>
      </c>
      <c r="BM91" s="91" t="e">
        <f>IF(U91="-","-",VLOOKUP($E91,CTPit!$E$10:$AW$175,BM$9,FALSE)-U91)</f>
        <v>#N/A</v>
      </c>
      <c r="BN91" s="91" t="e">
        <f>IF(V91="-","-",VLOOKUP($E91,CTPit!$E$10:$AW$175,BN$9,FALSE)-V91)</f>
        <v>#N/A</v>
      </c>
      <c r="BO91" s="91" t="e">
        <f>IF(W91="-","-",VLOOKUP($E91,CTPit!$E$10:$AW$175,BO$9,FALSE)-W91)</f>
        <v>#N/A</v>
      </c>
      <c r="BP91" s="91" t="e">
        <f>IF(X91="-","-",VLOOKUP($E91,CTPit!$E$10:$AW$175,BP$9,FALSE)-X91)</f>
        <v>#N/A</v>
      </c>
      <c r="BQ91" s="91" t="e">
        <f>IF(Y91="-","-",VLOOKUP($E91,CTPit!$E$10:$AW$175,BQ$9,FALSE)-Y91)</f>
        <v>#N/A</v>
      </c>
      <c r="BR91" s="91" t="e">
        <f>IF(Z91="-","-",VLOOKUP($E91,CTPit!$E$10:$AW$175,BR$9,FALSE)-Z91)</f>
        <v>#N/A</v>
      </c>
      <c r="BS91" s="91" t="str">
        <f>IF(AA91="-","-",VLOOKUP($E91,CTPit!$E$10:$AW$175,BS$9,FALSE)-AA91)</f>
        <v>-</v>
      </c>
      <c r="BT91" s="91" t="str">
        <f>IF(AB91="-","-",VLOOKUP($E91,CTPit!$E$10:$AW$175,BT$9,FALSE)-AB91)</f>
        <v>-</v>
      </c>
      <c r="BU91" s="91" t="str">
        <f>IF(AC91="-","-",VLOOKUP($E91,CTPit!$E$10:$AW$175,BU$9,FALSE)-AC91)</f>
        <v>-</v>
      </c>
      <c r="BV91" s="91" t="str">
        <f>IF(AD91="-","-",VLOOKUP($E91,CTPit!$E$10:$AW$175,BV$9,FALSE)-AD91)</f>
        <v>-</v>
      </c>
      <c r="BW91" s="91" t="e">
        <f>IF(AE91="-","-",VLOOKUP($E91,CTPit!$E$10:$AW$175,BW$9,FALSE)-AE91)</f>
        <v>#N/A</v>
      </c>
      <c r="BX91" s="91" t="e">
        <f>IF(AF91="-","-",VLOOKUP($E91,CTPit!$E$10:$AW$175,BX$9,FALSE)-AF91)</f>
        <v>#N/A</v>
      </c>
      <c r="BY91" s="91" t="str">
        <f>IF(AG91="-","-",VLOOKUP($E91,CTPit!$E$10:$AW$175,BY$9,FALSE)-AG91)</f>
        <v>-</v>
      </c>
      <c r="BZ91" s="91" t="str">
        <f>IF(AH91="-","-",VLOOKUP($E91,CTPit!$E$10:$AW$175,BZ$9,FALSE)-AH91)</f>
        <v>-</v>
      </c>
      <c r="CA91" s="91" t="str">
        <f>IF(AI91="-","-",VLOOKUP($E91,CTPit!$E$10:$AW$175,CA$9,FALSE)-AI91)</f>
        <v>-</v>
      </c>
      <c r="CB91" s="91" t="str">
        <f>IF(AJ91="-","-",VLOOKUP($E91,CTPit!$E$10:$AW$175,CB$9,FALSE)-AJ91)</f>
        <v>-</v>
      </c>
      <c r="CC91" s="91" t="str">
        <f>IF(AK91="-","-",VLOOKUP($E91,CTPit!$E$10:$AW$175,CC$9,FALSE)-AK91)</f>
        <v>-</v>
      </c>
      <c r="CD91" s="91" t="str">
        <f>IF(AL91="-","-",VLOOKUP($E91,CTPit!$E$10:$AW$175,CD$9,FALSE)-AL91)</f>
        <v>-</v>
      </c>
      <c r="CE91" s="91" t="str">
        <f>IF(AM91="-","-",VLOOKUP($E91,CTPit!$E$10:$AW$175,CE$9,FALSE)-AM91)</f>
        <v>-</v>
      </c>
      <c r="CF91" s="91" t="str">
        <f>IF(AN91="-","-",VLOOKUP($E91,CTPit!$E$10:$AW$175,CF$9,FALSE)-AN91)</f>
        <v>-</v>
      </c>
      <c r="CG91" s="91" t="str">
        <f>IF(AO91="-","-",VLOOKUP($E91,CTPit!$E$10:$AW$175,CG$9,FALSE)-AO91)</f>
        <v>-</v>
      </c>
      <c r="CH91" s="91" t="str">
        <f>IF(AP91="-","-",VLOOKUP($E91,CTPit!$E$10:$AW$175,CH$9,FALSE)-AP91)</f>
        <v>-</v>
      </c>
      <c r="CI91" s="91" t="str">
        <f>IF(AQ91="-","-",VLOOKUP($E91,CTPit!$E$10:$AW$175,CI$9,FALSE)-AQ91)</f>
        <v>-</v>
      </c>
      <c r="CJ91" s="91" t="str">
        <f>IF(AR91="-","-",VLOOKUP($E91,CTPit!$E$10:$AW$175,CJ$9,FALSE)-AR91)</f>
        <v>-</v>
      </c>
      <c r="CK91" t="e">
        <f t="shared" si="48"/>
        <v>#N/A</v>
      </c>
    </row>
    <row r="92" spans="3:89">
      <c r="C92" t="str">
        <f t="shared" si="38"/>
        <v>K</v>
      </c>
      <c r="D92" t="s">
        <v>98</v>
      </c>
      <c r="E92" t="s">
        <v>464</v>
      </c>
      <c r="F92" t="s">
        <v>370</v>
      </c>
      <c r="G92" t="s">
        <v>316</v>
      </c>
      <c r="H92" s="3">
        <v>19</v>
      </c>
      <c r="I92" t="s">
        <v>104</v>
      </c>
      <c r="J92" t="s">
        <v>104</v>
      </c>
      <c r="K92" t="s">
        <v>47</v>
      </c>
      <c r="L92" s="3" t="s">
        <v>48</v>
      </c>
      <c r="M92" t="s">
        <v>226</v>
      </c>
      <c r="N92" t="s">
        <v>223</v>
      </c>
      <c r="O92" s="3">
        <v>2</v>
      </c>
      <c r="P92">
        <v>3</v>
      </c>
      <c r="Q92">
        <v>1</v>
      </c>
      <c r="R92" s="3">
        <v>3</v>
      </c>
      <c r="S92">
        <v>3</v>
      </c>
      <c r="T92">
        <v>4</v>
      </c>
      <c r="U92">
        <v>2</v>
      </c>
      <c r="V92">
        <v>3</v>
      </c>
      <c r="W92" t="s">
        <v>41</v>
      </c>
      <c r="X92" t="s">
        <v>41</v>
      </c>
      <c r="Y92" t="s">
        <v>41</v>
      </c>
      <c r="Z92" t="s">
        <v>41</v>
      </c>
      <c r="AA92">
        <v>2</v>
      </c>
      <c r="AB92">
        <v>4</v>
      </c>
      <c r="AC92" t="s">
        <v>41</v>
      </c>
      <c r="AD92" t="s">
        <v>41</v>
      </c>
      <c r="AE92" t="s">
        <v>41</v>
      </c>
      <c r="AF92" t="s">
        <v>41</v>
      </c>
      <c r="AG92" t="s">
        <v>41</v>
      </c>
      <c r="AH92" t="s">
        <v>41</v>
      </c>
      <c r="AI92" t="s">
        <v>41</v>
      </c>
      <c r="AJ92" t="s">
        <v>41</v>
      </c>
      <c r="AK92" t="s">
        <v>41</v>
      </c>
      <c r="AL92" t="s">
        <v>41</v>
      </c>
      <c r="AM92" t="s">
        <v>41</v>
      </c>
      <c r="AN92" t="s">
        <v>41</v>
      </c>
      <c r="AO92" t="s">
        <v>41</v>
      </c>
      <c r="AP92" s="3" t="s">
        <v>41</v>
      </c>
      <c r="AQ92" t="s">
        <v>41</v>
      </c>
      <c r="AR92" t="s">
        <v>41</v>
      </c>
      <c r="AS92" s="3" t="s">
        <v>412</v>
      </c>
      <c r="AT92">
        <v>8</v>
      </c>
      <c r="AU92" s="3">
        <v>0.45</v>
      </c>
      <c r="AV92" t="s">
        <v>41</v>
      </c>
      <c r="AW92" s="5">
        <v>0</v>
      </c>
      <c r="AX92" s="6">
        <f t="shared" si="39"/>
        <v>2</v>
      </c>
      <c r="AY92" s="9" t="str">
        <f t="shared" si="40"/>
        <v>Minors</v>
      </c>
      <c r="AZ92" s="9">
        <f t="shared" si="41"/>
        <v>3.3333333333333335</v>
      </c>
      <c r="BA92" s="9" t="str">
        <f t="shared" si="42"/>
        <v>Minors</v>
      </c>
      <c r="BB92" s="9">
        <f t="shared" si="43"/>
        <v>3.3333333333333335</v>
      </c>
      <c r="BC92" s="9" t="str">
        <f t="shared" si="44"/>
        <v>Minors</v>
      </c>
      <c r="BD92" s="84">
        <f t="shared" si="45"/>
        <v>2</v>
      </c>
      <c r="BE92" s="83">
        <f t="shared" si="46"/>
        <v>0</v>
      </c>
      <c r="BF92" t="str">
        <f t="shared" si="47"/>
        <v/>
      </c>
      <c r="BG92" s="91">
        <f>IF(O92="-","-",VLOOKUP($E92,CTPit!$E$10:$AW$175,BG$9,FALSE)-O92)</f>
        <v>0</v>
      </c>
      <c r="BH92" s="91">
        <f>IF(P92="-","-",VLOOKUP($E92,CTPit!$E$10:$AW$175,BH$9,FALSE)-P92)</f>
        <v>0</v>
      </c>
      <c r="BI92" s="91">
        <f>IF(Q92="-","-",VLOOKUP($E92,CTPit!$E$10:$AW$175,BI$9,FALSE)-Q92)</f>
        <v>0</v>
      </c>
      <c r="BJ92" s="91">
        <f>IF(R92="-","-",VLOOKUP($E92,CTPit!$E$10:$AW$175,BJ$9,FALSE)-R92)</f>
        <v>-1</v>
      </c>
      <c r="BK92" s="91">
        <f>IF(S92="-","-",VLOOKUP($E92,CTPit!$E$10:$AW$175,BK$9,FALSE)-S92)</f>
        <v>0</v>
      </c>
      <c r="BL92" s="91">
        <f>IF(T92="-","-",VLOOKUP($E92,CTPit!$E$10:$AW$175,BL$9,FALSE)-T92)</f>
        <v>-1</v>
      </c>
      <c r="BM92" s="91">
        <f>IF(U92="-","-",VLOOKUP($E92,CTPit!$E$10:$AW$175,BM$9,FALSE)-U92)</f>
        <v>0</v>
      </c>
      <c r="BN92" s="91">
        <f>IF(V92="-","-",VLOOKUP($E92,CTPit!$E$10:$AW$175,BN$9,FALSE)-V92)</f>
        <v>-1</v>
      </c>
      <c r="BO92" s="91" t="str">
        <f>IF(W92="-","-",VLOOKUP($E92,CTPit!$E$10:$AW$175,BO$9,FALSE)-W92)</f>
        <v>-</v>
      </c>
      <c r="BP92" s="91" t="str">
        <f>IF(X92="-","-",VLOOKUP($E92,CTPit!$E$10:$AW$175,BP$9,FALSE)-X92)</f>
        <v>-</v>
      </c>
      <c r="BQ92" s="91" t="str">
        <f>IF(Y92="-","-",VLOOKUP($E92,CTPit!$E$10:$AW$175,BQ$9,FALSE)-Y92)</f>
        <v>-</v>
      </c>
      <c r="BR92" s="91" t="str">
        <f>IF(Z92="-","-",VLOOKUP($E92,CTPit!$E$10:$AW$175,BR$9,FALSE)-Z92)</f>
        <v>-</v>
      </c>
      <c r="BS92" s="91">
        <f>IF(AA92="-","-",VLOOKUP($E92,CTPit!$E$10:$AW$175,BS$9,FALSE)-AA92)</f>
        <v>0</v>
      </c>
      <c r="BT92" s="91">
        <f>IF(AB92="-","-",VLOOKUP($E92,CTPit!$E$10:$AW$175,BT$9,FALSE)-AB92)</f>
        <v>-1</v>
      </c>
      <c r="BU92" s="91" t="str">
        <f>IF(AC92="-","-",VLOOKUP($E92,CTPit!$E$10:$AW$175,BU$9,FALSE)-AC92)</f>
        <v>-</v>
      </c>
      <c r="BV92" s="91" t="str">
        <f>IF(AD92="-","-",VLOOKUP($E92,CTPit!$E$10:$AW$175,BV$9,FALSE)-AD92)</f>
        <v>-</v>
      </c>
      <c r="BW92" s="91" t="str">
        <f>IF(AE92="-","-",VLOOKUP($E92,CTPit!$E$10:$AW$175,BW$9,FALSE)-AE92)</f>
        <v>-</v>
      </c>
      <c r="BX92" s="91" t="str">
        <f>IF(AF92="-","-",VLOOKUP($E92,CTPit!$E$10:$AW$175,BX$9,FALSE)-AF92)</f>
        <v>-</v>
      </c>
      <c r="BY92" s="91" t="str">
        <f>IF(AG92="-","-",VLOOKUP($E92,CTPit!$E$10:$AW$175,BY$9,FALSE)-AG92)</f>
        <v>-</v>
      </c>
      <c r="BZ92" s="91" t="str">
        <f>IF(AH92="-","-",VLOOKUP($E92,CTPit!$E$10:$AW$175,BZ$9,FALSE)-AH92)</f>
        <v>-</v>
      </c>
      <c r="CA92" s="91" t="str">
        <f>IF(AI92="-","-",VLOOKUP($E92,CTPit!$E$10:$AW$175,CA$9,FALSE)-AI92)</f>
        <v>-</v>
      </c>
      <c r="CB92" s="91" t="str">
        <f>IF(AJ92="-","-",VLOOKUP($E92,CTPit!$E$10:$AW$175,CB$9,FALSE)-AJ92)</f>
        <v>-</v>
      </c>
      <c r="CC92" s="91" t="str">
        <f>IF(AK92="-","-",VLOOKUP($E92,CTPit!$E$10:$AW$175,CC$9,FALSE)-AK92)</f>
        <v>-</v>
      </c>
      <c r="CD92" s="91" t="str">
        <f>IF(AL92="-","-",VLOOKUP($E92,CTPit!$E$10:$AW$175,CD$9,FALSE)-AL92)</f>
        <v>-</v>
      </c>
      <c r="CE92" s="91" t="str">
        <f>IF(AM92="-","-",VLOOKUP($E92,CTPit!$E$10:$AW$175,CE$9,FALSE)-AM92)</f>
        <v>-</v>
      </c>
      <c r="CF92" s="91" t="str">
        <f>IF(AN92="-","-",VLOOKUP($E92,CTPit!$E$10:$AW$175,CF$9,FALSE)-AN92)</f>
        <v>-</v>
      </c>
      <c r="CG92" s="91" t="str">
        <f>IF(AO92="-","-",VLOOKUP($E92,CTPit!$E$10:$AW$175,CG$9,FALSE)-AO92)</f>
        <v>-</v>
      </c>
      <c r="CH92" s="91" t="str">
        <f>IF(AP92="-","-",VLOOKUP($E92,CTPit!$E$10:$AW$175,CH$9,FALSE)-AP92)</f>
        <v>-</v>
      </c>
      <c r="CI92" s="91" t="str">
        <f>IF(AQ92="-","-",VLOOKUP($E92,CTPit!$E$10:$AW$175,CI$9,FALSE)-AQ92)</f>
        <v>-</v>
      </c>
      <c r="CJ92" s="91" t="str">
        <f>IF(AR92="-","-",VLOOKUP($E92,CTPit!$E$10:$AW$175,CJ$9,FALSE)-AR92)</f>
        <v>-</v>
      </c>
      <c r="CK92">
        <f t="shared" si="48"/>
        <v>-4</v>
      </c>
    </row>
  </sheetData>
  <sortState ref="A11:CK84">
    <sortCondition descending="1" ref="CK11:CK84"/>
    <sortCondition descending="1" ref="AX11:AX84"/>
  </sortState>
  <conditionalFormatting sqref="I66:J67 J66:K66 K11:L76">
    <cfRule type="expression" dxfId="0" priority="1">
      <formula>IF(I11&lt;&gt;"1 star",1,0)</formula>
    </cfRule>
  </conditionalFormatting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published="0">
    <tabColor theme="2" tint="-0.499984740745262"/>
  </sheetPr>
  <dimension ref="A1:AZ70"/>
  <sheetViews>
    <sheetView topLeftCell="A25" zoomScale="85" zoomScaleNormal="85" workbookViewId="0">
      <selection activeCell="C10" sqref="C10"/>
    </sheetView>
  </sheetViews>
  <sheetFormatPr defaultRowHeight="15"/>
  <cols>
    <col min="1" max="1" width="2" bestFit="1" customWidth="1"/>
    <col min="2" max="2" width="10.7109375" style="1" bestFit="1" customWidth="1"/>
    <col min="3" max="3" width="20" style="26" bestFit="1" customWidth="1"/>
    <col min="4" max="4" width="4.7109375" style="26" bestFit="1" customWidth="1"/>
    <col min="5" max="5" width="4.42578125" style="26" customWidth="1"/>
    <col min="6" max="6" width="4.42578125" bestFit="1" customWidth="1"/>
    <col min="7" max="7" width="3.7109375" bestFit="1" customWidth="1"/>
    <col min="8" max="8" width="4.7109375" bestFit="1" customWidth="1"/>
    <col min="9" max="9" width="4.28515625" customWidth="1"/>
    <col min="10" max="12" width="3.7109375" customWidth="1"/>
    <col min="13" max="16" width="3.7109375" bestFit="1" customWidth="1"/>
    <col min="17" max="17" width="4.28515625" bestFit="1" customWidth="1"/>
    <col min="18" max="18" width="4.7109375" bestFit="1" customWidth="1"/>
    <col min="19" max="21" width="3.7109375" bestFit="1" customWidth="1"/>
    <col min="22" max="22" width="4.28515625" bestFit="1" customWidth="1"/>
    <col min="23" max="23" width="4.7109375" bestFit="1" customWidth="1"/>
    <col min="24" max="24" width="4.28515625" customWidth="1"/>
    <col min="25" max="25" width="4.28515625" bestFit="1" customWidth="1"/>
    <col min="26" max="26" width="10.42578125" bestFit="1" customWidth="1"/>
    <col min="27" max="27" width="4.28515625" bestFit="1" customWidth="1"/>
    <col min="28" max="29" width="4.7109375" bestFit="1" customWidth="1"/>
    <col min="30" max="32" width="3.7109375" bestFit="1" customWidth="1"/>
    <col min="33" max="33" width="4.7109375" bestFit="1" customWidth="1"/>
    <col min="34" max="36" width="3.7109375" bestFit="1" customWidth="1"/>
    <col min="37" max="37" width="4.5703125" bestFit="1" customWidth="1"/>
    <col min="38" max="51" width="3.7109375" bestFit="1" customWidth="1"/>
    <col min="52" max="52" width="4.5703125" bestFit="1" customWidth="1"/>
  </cols>
  <sheetData>
    <row r="1" spans="1:52">
      <c r="D1" s="26">
        <v>4</v>
      </c>
      <c r="E1" s="26">
        <v>5</v>
      </c>
      <c r="J1">
        <v>23</v>
      </c>
      <c r="K1">
        <v>21</v>
      </c>
      <c r="L1">
        <v>22</v>
      </c>
      <c r="M1">
        <v>24</v>
      </c>
      <c r="N1">
        <v>25</v>
      </c>
      <c r="O1">
        <v>26</v>
      </c>
      <c r="P1">
        <v>27</v>
      </c>
      <c r="Q1">
        <v>28</v>
      </c>
      <c r="R1">
        <v>29</v>
      </c>
      <c r="S1">
        <v>30</v>
      </c>
      <c r="T1">
        <v>31</v>
      </c>
      <c r="AD1">
        <v>11</v>
      </c>
      <c r="AE1">
        <v>12</v>
      </c>
      <c r="AF1">
        <v>13</v>
      </c>
      <c r="AG1">
        <v>14</v>
      </c>
      <c r="AH1">
        <v>15</v>
      </c>
      <c r="AI1">
        <v>32</v>
      </c>
      <c r="AJ1">
        <v>33</v>
      </c>
      <c r="AU1">
        <v>16</v>
      </c>
      <c r="AV1">
        <v>17</v>
      </c>
      <c r="AW1">
        <v>18</v>
      </c>
      <c r="AX1">
        <v>19</v>
      </c>
      <c r="AY1">
        <v>20</v>
      </c>
    </row>
    <row r="2" spans="1:52" s="24" customFormat="1" ht="215.25">
      <c r="A2" s="25" t="s">
        <v>193</v>
      </c>
      <c r="B2" s="296" t="s">
        <v>124</v>
      </c>
      <c r="C2" s="44" t="str">
        <f>"Player ("&amp;COUNTA(C3:C11)&amp;")"</f>
        <v>Player (7)</v>
      </c>
      <c r="D2" s="44" t="s">
        <v>91</v>
      </c>
      <c r="E2" s="44" t="s">
        <v>101</v>
      </c>
      <c r="F2" s="51" t="e">
        <f>"Only 1 guy who plays only 1B ("&amp;SUM(F3:F11)&amp;")"</f>
        <v>#N/A</v>
      </c>
      <c r="G2" s="45" t="e">
        <f>"Only 1 guy who can only play 1B or LF ("&amp;SUM(G3:G11)&amp;")"</f>
        <v>#N/A</v>
      </c>
      <c r="H2" s="46" t="e">
        <f>"2 guys with RF arms ("&amp;SUM(H3:H11)&amp;")"</f>
        <v>#N/A</v>
      </c>
      <c r="I2" s="46" t="e">
        <f>"2 guys with CF range ("&amp;SUM(I3:I11)&amp;")"</f>
        <v>#N/A</v>
      </c>
      <c r="J2" s="55" t="s">
        <v>136</v>
      </c>
      <c r="K2" s="47" t="s">
        <v>134</v>
      </c>
      <c r="L2" s="56" t="s">
        <v>135</v>
      </c>
      <c r="M2" s="48" t="s">
        <v>92</v>
      </c>
      <c r="N2" s="48" t="s">
        <v>94</v>
      </c>
      <c r="O2" s="48" t="s">
        <v>95</v>
      </c>
      <c r="P2" s="48" t="s">
        <v>96</v>
      </c>
      <c r="Q2" s="48" t="s">
        <v>97</v>
      </c>
      <c r="R2" s="48" t="s">
        <v>98</v>
      </c>
      <c r="S2" s="48" t="s">
        <v>99</v>
      </c>
      <c r="T2" s="49" t="s">
        <v>100</v>
      </c>
      <c r="U2" s="51" t="s">
        <v>137</v>
      </c>
      <c r="V2" s="45" t="s">
        <v>181</v>
      </c>
      <c r="W2" s="45" t="s">
        <v>138</v>
      </c>
      <c r="X2" s="45" t="s">
        <v>154</v>
      </c>
      <c r="Y2" s="45" t="s">
        <v>153</v>
      </c>
      <c r="Z2" s="45" t="s">
        <v>141</v>
      </c>
      <c r="AA2" s="45" t="s">
        <v>142</v>
      </c>
      <c r="AB2" s="45" t="s">
        <v>159</v>
      </c>
      <c r="AC2" s="60" t="s">
        <v>143</v>
      </c>
      <c r="AD2" s="48" t="s">
        <v>147</v>
      </c>
      <c r="AE2" s="48" t="s">
        <v>148</v>
      </c>
      <c r="AF2" s="48" t="s">
        <v>149</v>
      </c>
      <c r="AG2" s="48" t="s">
        <v>150</v>
      </c>
      <c r="AH2" s="48" t="s">
        <v>29</v>
      </c>
      <c r="AI2" s="63" t="s">
        <v>151</v>
      </c>
      <c r="AJ2" s="49" t="s">
        <v>152</v>
      </c>
      <c r="AK2" s="66" t="s">
        <v>157</v>
      </c>
      <c r="AL2" s="51" t="s">
        <v>137</v>
      </c>
      <c r="AM2" s="45" t="s">
        <v>181</v>
      </c>
      <c r="AN2" s="45" t="s">
        <v>138</v>
      </c>
      <c r="AO2" s="45" t="s">
        <v>154</v>
      </c>
      <c r="AP2" s="45" t="s">
        <v>153</v>
      </c>
      <c r="AQ2" s="45" t="s">
        <v>141</v>
      </c>
      <c r="AR2" s="45" t="s">
        <v>142</v>
      </c>
      <c r="AS2" s="45" t="s">
        <v>159</v>
      </c>
      <c r="AT2" s="60" t="s">
        <v>143</v>
      </c>
      <c r="AU2" s="63" t="s">
        <v>147</v>
      </c>
      <c r="AV2" s="48" t="s">
        <v>148</v>
      </c>
      <c r="AW2" s="48" t="s">
        <v>149</v>
      </c>
      <c r="AX2" s="48" t="s">
        <v>150</v>
      </c>
      <c r="AY2" s="49" t="s">
        <v>29</v>
      </c>
      <c r="AZ2" s="66" t="s">
        <v>197</v>
      </c>
    </row>
    <row r="3" spans="1:52">
      <c r="A3">
        <v>1</v>
      </c>
      <c r="B3" s="32" t="s">
        <v>94</v>
      </c>
      <c r="C3" s="37" t="s">
        <v>411</v>
      </c>
      <c r="D3" s="33" t="e">
        <f>IF($C3="","",VLOOKUP($C3,CTBat!$G$10:$BR$203,D$1,FALSE))</f>
        <v>#N/A</v>
      </c>
      <c r="E3" s="33" t="e">
        <f>IF($C3="","",VLOOKUP($C3,CTBat!$G$10:$BR$203,E$1,FALSE))</f>
        <v>#N/A</v>
      </c>
      <c r="F3" s="52" t="e">
        <f>IF($C3="","",IF(AND(N3&gt;0,N3=SUM(M3:T3)),1,0))</f>
        <v>#N/A</v>
      </c>
      <c r="G3" s="34" t="e">
        <f>IF($C3="","",IF(AND(OR(N3&gt;0,R3&gt;0),SUM(N3,R3)=SUM(M3:T3)),1,0))</f>
        <v>#N/A</v>
      </c>
      <c r="H3" s="34" t="e">
        <f>IF($C3="","",IF(L3&gt;6,1,0))</f>
        <v>#N/A</v>
      </c>
      <c r="I3" s="34" t="e">
        <f t="shared" ref="I3:I7" si="0">IF($C3="","",IF(AND(S3&gt;4,S3&lt;&gt;"-"),1,0))</f>
        <v>#N/A</v>
      </c>
      <c r="J3" s="57" t="e">
        <f>IF($C3="","",VLOOKUP($C3,CTBat!$G$10:$BR$203,J$1,FALSE))</f>
        <v>#N/A</v>
      </c>
      <c r="K3" s="33" t="e">
        <f>IF($C3="","",VLOOKUP($C3,CTBat!$G$10:$BR$203,K$1,FALSE))</f>
        <v>#N/A</v>
      </c>
      <c r="L3" s="35" t="e">
        <f>IF($C3="","",VLOOKUP($C3,CTBat!$G$10:$BR$203,L$1,FALSE))</f>
        <v>#N/A</v>
      </c>
      <c r="M3" s="33" t="e">
        <f>IF($C3="","",VLOOKUP($C3,CTBat!$G$10:$BR$203,M$1,FALSE))</f>
        <v>#N/A</v>
      </c>
      <c r="N3" s="33" t="e">
        <f>IF($C3="","",VLOOKUP($C3,CTBat!$G$10:$BR$203,N$1,FALSE))</f>
        <v>#N/A</v>
      </c>
      <c r="O3" s="33" t="e">
        <f>IF($C3="","",VLOOKUP($C3,CTBat!$G$10:$BR$203,O$1,FALSE))</f>
        <v>#N/A</v>
      </c>
      <c r="P3" s="33" t="e">
        <f>IF($C3="","",VLOOKUP($C3,CTBat!$G$10:$BR$203,P$1,FALSE))</f>
        <v>#N/A</v>
      </c>
      <c r="Q3" s="33" t="e">
        <f>IF($C3="","",VLOOKUP($C3,CTBat!$G$10:$BR$203,Q$1,FALSE))</f>
        <v>#N/A</v>
      </c>
      <c r="R3" s="33" t="e">
        <f>IF($C3="","",VLOOKUP($C3,CTBat!$G$10:$BR$203,R$1,FALSE))</f>
        <v>#N/A</v>
      </c>
      <c r="S3" s="33" t="e">
        <f>IF($C3="","",VLOOKUP($C3,CTBat!$G$10:$BR$203,S$1,FALSE))</f>
        <v>#N/A</v>
      </c>
      <c r="T3" s="35" t="e">
        <f>IF($C3="","",VLOOKUP($C3,CTBat!$G$10:$BR$203,T$1,FALSE))</f>
        <v>#N/A</v>
      </c>
      <c r="U3" s="53" t="e">
        <f t="shared" ref="U3:U11" si="1">IF($C3="","",IF(OR(AD3+AG3&gt;14,AND(OR(AD3+AG3&gt;12,AND(AD3&gt;6,AG3&gt;6)),AI3&gt;6,OR(AJ3&gt;=AI3,AJ3&gt;6))),1,0))</f>
        <v>#N/A</v>
      </c>
      <c r="V3" s="301" t="e">
        <f t="shared" ref="V3:V11" si="2">IF($C3="","",IF(OR(AND(AD3&gt;6,AH3&gt;6),AD3+AG3&gt;12),1,0))</f>
        <v>#N/A</v>
      </c>
      <c r="W3" s="34" t="e">
        <f>IF($C3="","",IF(AND(AD3&gt;6,AF3&gt;6,AG3&gt;6),1,0))</f>
        <v>#N/A</v>
      </c>
      <c r="X3" s="34" t="e">
        <f>IF($C3="","",IF(AND(AF3&gt;7,OR(AD3&gt;6,AG3&gt;6)),1,0))</f>
        <v>#N/A</v>
      </c>
      <c r="Y3" s="34" t="e">
        <f>IF($C3="","",IF(AND(AF3&gt;6,OR(AD3&gt;6,AG3&gt;6)),1,0))</f>
        <v>#N/A</v>
      </c>
      <c r="Z3" s="34" t="e">
        <f>IF($C3="","",IF(AND(OR(AD3&gt;6,AF3&gt;6),OR(AD3&gt;6,AG3&gt;6)),1,0))</f>
        <v>#N/A</v>
      </c>
      <c r="AA3" s="34" t="e">
        <f>IF($C3="","",IF(AND(AD3&gt;4,OR(AD3&gt;6,AF3&gt;6,AG3&gt;6)),1,0))</f>
        <v>#N/A</v>
      </c>
      <c r="AB3" s="34" t="e">
        <f>IF($C3="","",IF(AND(AD3&gt;4,OR(AD3&gt;6,AE3&gt;6,AF3&gt;6,AG3&gt;6)),1,0))</f>
        <v>#N/A</v>
      </c>
      <c r="AC3" s="61" t="e">
        <f>IF($C3="","",IF(AND(AD3&gt;4,MAX(AD3:AH3)&gt;6),1,0))</f>
        <v>#N/A</v>
      </c>
      <c r="AD3" s="33" t="e">
        <f>IF($C3="","",VLOOKUP($C3,CTBat!$G$10:$BR$203,AD$1,FALSE))</f>
        <v>#N/A</v>
      </c>
      <c r="AE3" s="33" t="e">
        <f>IF($C3="","",VLOOKUP($C3,CTBat!$G$10:$BR$203,AE$1,FALSE))</f>
        <v>#N/A</v>
      </c>
      <c r="AF3" s="33" t="e">
        <f>IF($C3="","",VLOOKUP($C3,CTBat!$G$10:$BR$203,AF$1,FALSE))</f>
        <v>#N/A</v>
      </c>
      <c r="AG3" s="33" t="e">
        <f>IF($C3="","",VLOOKUP($C3,CTBat!$G$10:$BR$203,AG$1,FALSE))</f>
        <v>#N/A</v>
      </c>
      <c r="AH3" s="33" t="e">
        <f>IF($C3="","",VLOOKUP($C3,CTBat!$G$10:$BR$203,AH$1,FALSE))</f>
        <v>#N/A</v>
      </c>
      <c r="AI3" s="57" t="e">
        <f>IF($C3="","",VLOOKUP($C3,CTBat!$G$10:$BR$203,AI$1,FALSE))</f>
        <v>#N/A</v>
      </c>
      <c r="AJ3" s="35" t="e">
        <f>IF($C3="","",VLOOKUP($C3,CTBat!$G$10:$BR$203,AJ$1,FALSE))</f>
        <v>#N/A</v>
      </c>
      <c r="AK3" s="67" t="e">
        <f>IF($C3="","",(5*AD3+4*AF3+3*AG3+2*AE3+1*AH3+0.5*(AVERAGE(AD3:AE3))+0.5*AVERAGE(AD3,AH3)+1*(AVERAGE(AD3,AF3))+1*AVERAGE(AD3,AG3))/(5+4+3+2+1+0.5+0.5+1+1))</f>
        <v>#N/A</v>
      </c>
      <c r="AL3" s="52" t="e">
        <f>IF($C3="","",IF(AND(OR(AU3+AX3&gt;12,AND(AU3&gt;6,AX3&gt;6)),AI3&gt;6,OR(AJ3&gt;=AI3,AJ3&gt;6)),1,0))</f>
        <v>#N/A</v>
      </c>
      <c r="AM3" s="34" t="e">
        <f>IF($C3="","",IF(OR(AND(AU3&gt;6,AY3&gt;6),AU3+AX3&gt;12),1,0))</f>
        <v>#N/A</v>
      </c>
      <c r="AN3" s="34" t="e">
        <f>IF($C3="","",IF(AND(AU3&gt;6,AW3&gt;6,AX3&gt;6),1,0))</f>
        <v>#N/A</v>
      </c>
      <c r="AO3" s="34" t="e">
        <f>IF($C3="","",IF(AND(AW3&gt;7,OR(AU3&gt;6,AX3&gt;6)),1,0))</f>
        <v>#N/A</v>
      </c>
      <c r="AP3" s="34" t="e">
        <f>IF($C3="","",IF(AND(AW3&gt;6,OR(AU3&gt;6,AX3&gt;6)),1,0))</f>
        <v>#N/A</v>
      </c>
      <c r="AQ3" s="34" t="e">
        <f>IF($C3="","",IF(AND(OR(AU3&gt;6,AW3&gt;6),OR(AU3&gt;6,AX3&gt;6)),1,0))</f>
        <v>#N/A</v>
      </c>
      <c r="AR3" s="34" t="e">
        <f>IF($C3="","",IF(AND(AU3&gt;4,OR(AU3&gt;6,AW3&gt;6,AX3&gt;6)),1,0))</f>
        <v>#N/A</v>
      </c>
      <c r="AS3" s="34" t="e">
        <f>IF($C3="","",IF(AND(AU3&gt;4,OR(AU3&gt;6,AV3&gt;6,AW3&gt;6,AX3&gt;6)),1,0))</f>
        <v>#N/A</v>
      </c>
      <c r="AT3" s="61" t="e">
        <f>IF($C3="","",IF(AND(AU3&gt;4,MAX(AU3:AY3)&gt;6),1,0))</f>
        <v>#N/A</v>
      </c>
      <c r="AU3" s="57" t="e">
        <f>IF($C3="","",VLOOKUP($C3,CTBat!$G$10:$BR$203,AU$1,FALSE))</f>
        <v>#N/A</v>
      </c>
      <c r="AV3" s="33" t="e">
        <f>IF($C3="","",VLOOKUP($C3,CTBat!$G$10:$BR$203,AV$1,FALSE))</f>
        <v>#N/A</v>
      </c>
      <c r="AW3" s="33" t="e">
        <f>IF($C3="","",VLOOKUP($C3,CTBat!$G$10:$BR$203,AW$1,FALSE))</f>
        <v>#N/A</v>
      </c>
      <c r="AX3" s="33" t="e">
        <f>IF($C3="","",VLOOKUP($C3,CTBat!$G$10:$BR$203,AX$1,FALSE))</f>
        <v>#N/A</v>
      </c>
      <c r="AY3" s="35" t="e">
        <f>IF($C3="","",VLOOKUP($C3,CTBat!$G$10:$BR$203,AY$1,FALSE))</f>
        <v>#N/A</v>
      </c>
      <c r="AZ3" s="67" t="e">
        <f>IF($C3="","",(5*AU3+4*AW3+3*AX3+2*AV3+1*AY3+0.5*(AVERAGE(AU3:AV3))+0.5*AVERAGE(AU3,AY3)+1*(AVERAGE(AU3,AW3))+1*AVERAGE(AU3,AX3))/(5+4+3+2+1+0.5+0.5+1+1))</f>
        <v>#N/A</v>
      </c>
    </row>
    <row r="4" spans="1:52">
      <c r="A4">
        <v>2</v>
      </c>
      <c r="B4" s="36" t="s">
        <v>98</v>
      </c>
      <c r="C4" s="37" t="s">
        <v>408</v>
      </c>
      <c r="D4" s="37">
        <f>IF($C4="","",VLOOKUP($C4,CTBat!$G$10:$BR$203,D$1,FALSE))</f>
        <v>27</v>
      </c>
      <c r="E4" s="37" t="str">
        <f>IF($C4="","",VLOOKUP($C4,CTBat!$G$10:$BR$203,E$1,FALSE))</f>
        <v>L</v>
      </c>
      <c r="F4" s="53">
        <f t="shared" ref="F4:F11" si="3">IF($C4="","",IF(AND(N4&gt;0,N4=SUM(M4:T4)),1,0))</f>
        <v>0</v>
      </c>
      <c r="G4" s="301">
        <f t="shared" ref="G4:G11" si="4">IF($C4="","",IF(AND(OR(N4&gt;0,R4&gt;0),SUM(N4,R4)=SUM(M4:T4)),1,0))</f>
        <v>0</v>
      </c>
      <c r="H4" s="301">
        <f t="shared" ref="H4:H11" si="5">IF($C4="","",IF(L4&gt;6,1,0))</f>
        <v>0</v>
      </c>
      <c r="I4" s="301">
        <f t="shared" si="0"/>
        <v>1</v>
      </c>
      <c r="J4" s="58">
        <f>IF($C4="","",VLOOKUP($C4,CTBat!$G$10:$BR$203,J$1,FALSE))</f>
        <v>1</v>
      </c>
      <c r="K4" s="37">
        <f>IF($C4="","",VLOOKUP($C4,CTBat!$G$10:$BR$203,K$1,FALSE))</f>
        <v>1</v>
      </c>
      <c r="L4" s="38">
        <f>IF($C4="","",VLOOKUP($C4,CTBat!$G$10:$BR$203,L$1,FALSE))</f>
        <v>4</v>
      </c>
      <c r="M4" s="37" t="str">
        <f>IF($C4="","",VLOOKUP($C4,CTBat!$G$10:$BR$203,M$1,FALSE))</f>
        <v>-</v>
      </c>
      <c r="N4" s="37" t="str">
        <f>IF($C4="","",VLOOKUP($C4,CTBat!$G$10:$BR$203,N$1,FALSE))</f>
        <v>-</v>
      </c>
      <c r="O4" s="37" t="str">
        <f>IF($C4="","",VLOOKUP($C4,CTBat!$G$10:$BR$203,O$1,FALSE))</f>
        <v>-</v>
      </c>
      <c r="P4" s="37" t="str">
        <f>IF($C4="","",VLOOKUP($C4,CTBat!$G$10:$BR$203,P$1,FALSE))</f>
        <v>-</v>
      </c>
      <c r="Q4" s="37" t="str">
        <f>IF($C4="","",VLOOKUP($C4,CTBat!$G$10:$BR$203,Q$1,FALSE))</f>
        <v>-</v>
      </c>
      <c r="R4" s="37">
        <f>IF($C4="","",VLOOKUP($C4,CTBat!$G$10:$BR$203,R$1,FALSE))</f>
        <v>10</v>
      </c>
      <c r="S4" s="37">
        <f>IF($C4="","",VLOOKUP($C4,CTBat!$G$10:$BR$203,S$1,FALSE))</f>
        <v>7</v>
      </c>
      <c r="T4" s="38">
        <f>IF($C4="","",VLOOKUP($C4,CTBat!$G$10:$BR$203,T$1,FALSE))</f>
        <v>7</v>
      </c>
      <c r="U4" s="53">
        <f t="shared" si="1"/>
        <v>1</v>
      </c>
      <c r="V4" s="301">
        <f t="shared" si="2"/>
        <v>1</v>
      </c>
      <c r="W4" s="301">
        <f t="shared" ref="W4:W11" si="6">IF($C4="","",IF(AND(AD4&gt;6,AF4&gt;6,AG4&gt;6),1,0))</f>
        <v>0</v>
      </c>
      <c r="X4" s="301">
        <f t="shared" ref="X4:X11" si="7">IF($C4="","",IF(AND(AF4&gt;7,OR(AD4&gt;6,AG4&gt;6)),1,0))</f>
        <v>0</v>
      </c>
      <c r="Y4" s="301">
        <f t="shared" ref="Y4:Y11" si="8">IF($C4="","",IF(AND(AF4&gt;6,OR(AD4&gt;6,AG4&gt;6)),1,0))</f>
        <v>1</v>
      </c>
      <c r="Z4" s="301">
        <f t="shared" ref="Z4:Z11" si="9">IF($C4="","",IF(AND(OR(AD4&gt;6,AF4&gt;6),OR(AD4&gt;6,AG4&gt;6)),1,0))</f>
        <v>1</v>
      </c>
      <c r="AA4" s="301">
        <f t="shared" ref="AA4:AA11" si="10">IF($C4="","",IF(AND(AD4&gt;4,OR(AD4&gt;6,AF4&gt;6,AG4&gt;6)),1,0))</f>
        <v>1</v>
      </c>
      <c r="AB4" s="301">
        <f t="shared" ref="AB4:AB11" si="11">IF($C4="","",IF(AND(AD4&gt;4,OR(AD4&gt;6,AE4&gt;6,AF4&gt;6,AG4&gt;6)),1,0))</f>
        <v>1</v>
      </c>
      <c r="AC4" s="302">
        <f t="shared" ref="AC4:AC11" si="12">IF($C4="","",IF(AND(AD4&gt;4,MAX(AD4:AH4)&gt;6),1,0))</f>
        <v>1</v>
      </c>
      <c r="AD4" s="37">
        <f>IF($C4="","",VLOOKUP($C4,CTBat!$G$10:$BR$203,AD$1,FALSE))</f>
        <v>8</v>
      </c>
      <c r="AE4" s="37">
        <f>IF($C4="","",VLOOKUP($C4,CTBat!$G$10:$BR$203,AE$1,FALSE))</f>
        <v>7</v>
      </c>
      <c r="AF4" s="37">
        <f>IF($C4="","",VLOOKUP($C4,CTBat!$G$10:$BR$203,AF$1,FALSE))</f>
        <v>7</v>
      </c>
      <c r="AG4" s="37">
        <f>IF($C4="","",VLOOKUP($C4,CTBat!$G$10:$BR$203,AG$1,FALSE))</f>
        <v>6</v>
      </c>
      <c r="AH4" s="37">
        <f>IF($C4="","",VLOOKUP($C4,CTBat!$G$10:$BR$203,AH$1,FALSE))</f>
        <v>9</v>
      </c>
      <c r="AI4" s="58">
        <f>IF($C4="","",VLOOKUP($C4,CTBat!$G$10:$BR$203,AI$1,FALSE))</f>
        <v>7</v>
      </c>
      <c r="AJ4" s="38">
        <f>IF($C4="","",VLOOKUP($C4,CTBat!$G$10:$BR$203,AJ$1,FALSE))</f>
        <v>10</v>
      </c>
      <c r="AK4" s="67">
        <f t="shared" ref="AK4:AK11" si="13">IF($C4="","",(5*AD4+4*AF4+3*AG4+2*AE4+1*AH4+0.5*(AVERAGE(AD4:AE4))+0.5*AVERAGE(AD4,AH4)+1*(AVERAGE(AD4,AF4))+1*AVERAGE(AD4,AG4))/(5+4+3+2+1+0.5+0.5+1+1))</f>
        <v>7.3055555555555554</v>
      </c>
      <c r="AL4" s="53">
        <f t="shared" ref="AL4:AL11" si="14">IF($C4="","",IF(AND(OR(AU4+AX4&gt;12,AND(AU4&gt;6,AX4&gt;6)),AI4&gt;6,OR(AJ4&gt;=AI4,AJ4&gt;6)),1,0))</f>
        <v>1</v>
      </c>
      <c r="AM4" s="301">
        <f t="shared" ref="AM4:AM11" si="15">IF($C4="","",IF(OR(AND(AU4&gt;6,AY4&gt;6),AU4+AX4&gt;12),1,0))</f>
        <v>1</v>
      </c>
      <c r="AN4" s="301">
        <f t="shared" ref="AN4:AN11" si="16">IF($C4="","",IF(AND(AU4&gt;6,AW4&gt;6,AX4&gt;6),1,0))</f>
        <v>0</v>
      </c>
      <c r="AO4" s="301">
        <f t="shared" ref="AO4:AO11" si="17">IF($C4="","",IF(AND(AW4&gt;7,OR(AU4&gt;6,AX4&gt;6)),1,0))</f>
        <v>0</v>
      </c>
      <c r="AP4" s="301">
        <f t="shared" ref="AP4:AP11" si="18">IF($C4="","",IF(AND(AW4&gt;6,OR(AU4&gt;6,AX4&gt;6)),1,0))</f>
        <v>1</v>
      </c>
      <c r="AQ4" s="301">
        <f t="shared" ref="AQ4:AQ11" si="19">IF($C4="","",IF(AND(OR(AU4&gt;6,AW4&gt;6),OR(AU4&gt;6,AX4&gt;6)),1,0))</f>
        <v>1</v>
      </c>
      <c r="AR4" s="301">
        <f t="shared" ref="AR4:AR11" si="20">IF($C4="","",IF(AND(AU4&gt;4,OR(AU4&gt;6,AW4&gt;6,AX4&gt;6)),1,0))</f>
        <v>1</v>
      </c>
      <c r="AS4" s="301">
        <f t="shared" ref="AS4:AS11" si="21">IF($C4="","",IF(AND(AU4&gt;4,OR(AU4&gt;6,AV4&gt;6,AW4&gt;6,AX4&gt;6)),1,0))</f>
        <v>1</v>
      </c>
      <c r="AT4" s="302">
        <f t="shared" ref="AT4:AT11" si="22">IF($C4="","",IF(AND(AU4&gt;4,MAX(AU4:AY4)&gt;6),1,0))</f>
        <v>1</v>
      </c>
      <c r="AU4" s="58">
        <f>IF($C4="","",VLOOKUP($C4,CTBat!$G$10:$BR$203,AU$1,FALSE))</f>
        <v>8</v>
      </c>
      <c r="AV4" s="37">
        <f>IF($C4="","",VLOOKUP($C4,CTBat!$G$10:$BR$203,AV$1,FALSE))</f>
        <v>7</v>
      </c>
      <c r="AW4" s="37">
        <f>IF($C4="","",VLOOKUP($C4,CTBat!$G$10:$BR$203,AW$1,FALSE))</f>
        <v>7</v>
      </c>
      <c r="AX4" s="37">
        <f>IF($C4="","",VLOOKUP($C4,CTBat!$G$10:$BR$203,AX$1,FALSE))</f>
        <v>6</v>
      </c>
      <c r="AY4" s="38">
        <f>IF($C4="","",VLOOKUP($C4,CTBat!$G$10:$BR$203,AY$1,FALSE))</f>
        <v>9</v>
      </c>
      <c r="AZ4" s="67">
        <f t="shared" ref="AZ4:AZ11" si="23">IF($C4="","",(5*AU4+4*AW4+3*AX4+2*AV4+1*AY4+0.5*(AVERAGE(AU4:AV4))+0.5*AVERAGE(AU4,AY4)+1*(AVERAGE(AU4,AW4))+1*AVERAGE(AU4,AX4))/(5+4+3+2+1+0.5+0.5+1+1))</f>
        <v>7.3055555555555554</v>
      </c>
    </row>
    <row r="5" spans="1:52">
      <c r="A5">
        <v>3</v>
      </c>
      <c r="B5" s="36" t="s">
        <v>99</v>
      </c>
      <c r="C5" s="37" t="s">
        <v>381</v>
      </c>
      <c r="D5" s="37">
        <f>IF($C5="","",VLOOKUP($C5,CTBat!$G$10:$BR$203,D$1,FALSE))</f>
        <v>25</v>
      </c>
      <c r="E5" s="37" t="str">
        <f>IF($C5="","",VLOOKUP($C5,CTBat!$G$10:$BR$203,E$1,FALSE))</f>
        <v>L</v>
      </c>
      <c r="F5" s="53">
        <f t="shared" si="3"/>
        <v>0</v>
      </c>
      <c r="G5" s="301">
        <f t="shared" si="4"/>
        <v>0</v>
      </c>
      <c r="H5" s="301">
        <f t="shared" si="5"/>
        <v>1</v>
      </c>
      <c r="I5" s="301">
        <f t="shared" si="0"/>
        <v>1</v>
      </c>
      <c r="J5" s="58">
        <f>IF($C5="","",VLOOKUP($C5,CTBat!$G$10:$BR$203,J$1,FALSE))</f>
        <v>1</v>
      </c>
      <c r="K5" s="37">
        <f>IF($C5="","",VLOOKUP($C5,CTBat!$G$10:$BR$203,K$1,FALSE))</f>
        <v>1</v>
      </c>
      <c r="L5" s="38">
        <f>IF($C5="","",VLOOKUP($C5,CTBat!$G$10:$BR$203,L$1,FALSE))</f>
        <v>10</v>
      </c>
      <c r="M5" s="37" t="str">
        <f>IF($C5="","",VLOOKUP($C5,CTBat!$G$10:$BR$203,M$1,FALSE))</f>
        <v>-</v>
      </c>
      <c r="N5" s="37" t="str">
        <f>IF($C5="","",VLOOKUP($C5,CTBat!$G$10:$BR$203,N$1,FALSE))</f>
        <v>-</v>
      </c>
      <c r="O5" s="37" t="str">
        <f>IF($C5="","",VLOOKUP($C5,CTBat!$G$10:$BR$203,O$1,FALSE))</f>
        <v>-</v>
      </c>
      <c r="P5" s="37" t="str">
        <f>IF($C5="","",VLOOKUP($C5,CTBat!$G$10:$BR$203,P$1,FALSE))</f>
        <v>-</v>
      </c>
      <c r="Q5" s="37" t="str">
        <f>IF($C5="","",VLOOKUP($C5,CTBat!$G$10:$BR$203,Q$1,FALSE))</f>
        <v>-</v>
      </c>
      <c r="R5" s="37">
        <f>IF($C5="","",VLOOKUP($C5,CTBat!$G$10:$BR$203,R$1,FALSE))</f>
        <v>7</v>
      </c>
      <c r="S5" s="37">
        <f>IF($C5="","",VLOOKUP($C5,CTBat!$G$10:$BR$203,S$1,FALSE))</f>
        <v>9</v>
      </c>
      <c r="T5" s="38">
        <f>IF($C5="","",VLOOKUP($C5,CTBat!$G$10:$BR$203,T$1,FALSE))</f>
        <v>10</v>
      </c>
      <c r="U5" s="53">
        <f t="shared" si="1"/>
        <v>1</v>
      </c>
      <c r="V5" s="301">
        <f t="shared" si="2"/>
        <v>1</v>
      </c>
      <c r="W5" s="301">
        <f t="shared" si="6"/>
        <v>0</v>
      </c>
      <c r="X5" s="301">
        <f t="shared" si="7"/>
        <v>0</v>
      </c>
      <c r="Y5" s="301">
        <f t="shared" si="8"/>
        <v>0</v>
      </c>
      <c r="Z5" s="301">
        <f t="shared" si="9"/>
        <v>1</v>
      </c>
      <c r="AA5" s="301">
        <f t="shared" si="10"/>
        <v>1</v>
      </c>
      <c r="AB5" s="301">
        <f t="shared" si="11"/>
        <v>1</v>
      </c>
      <c r="AC5" s="302">
        <f t="shared" si="12"/>
        <v>1</v>
      </c>
      <c r="AD5" s="37">
        <f>IF($C5="","",VLOOKUP($C5,CTBat!$G$10:$BR$203,AD$1,FALSE))</f>
        <v>10</v>
      </c>
      <c r="AE5" s="37">
        <f>IF($C5="","",VLOOKUP($C5,CTBat!$G$10:$BR$203,AE$1,FALSE))</f>
        <v>7</v>
      </c>
      <c r="AF5" s="37">
        <f>IF($C5="","",VLOOKUP($C5,CTBat!$G$10:$BR$203,AF$1,FALSE))</f>
        <v>4</v>
      </c>
      <c r="AG5" s="37">
        <f>IF($C5="","",VLOOKUP($C5,CTBat!$G$10:$BR$203,AG$1,FALSE))</f>
        <v>6</v>
      </c>
      <c r="AH5" s="37">
        <f>IF($C5="","",VLOOKUP($C5,CTBat!$G$10:$BR$203,AH$1,FALSE))</f>
        <v>8</v>
      </c>
      <c r="AI5" s="58">
        <f>IF($C5="","",VLOOKUP($C5,CTBat!$G$10:$BR$203,AI$1,FALSE))</f>
        <v>7</v>
      </c>
      <c r="AJ5" s="38">
        <f>IF($C5="","",VLOOKUP($C5,CTBat!$G$10:$BR$203,AJ$1,FALSE))</f>
        <v>9</v>
      </c>
      <c r="AK5" s="67">
        <f t="shared" si="13"/>
        <v>7.208333333333333</v>
      </c>
      <c r="AL5" s="53">
        <f t="shared" si="14"/>
        <v>1</v>
      </c>
      <c r="AM5" s="301">
        <f t="shared" si="15"/>
        <v>1</v>
      </c>
      <c r="AN5" s="301">
        <f t="shared" si="16"/>
        <v>0</v>
      </c>
      <c r="AO5" s="301">
        <f t="shared" si="17"/>
        <v>0</v>
      </c>
      <c r="AP5" s="301">
        <f t="shared" si="18"/>
        <v>0</v>
      </c>
      <c r="AQ5" s="301">
        <f t="shared" si="19"/>
        <v>1</v>
      </c>
      <c r="AR5" s="301">
        <f t="shared" si="20"/>
        <v>1</v>
      </c>
      <c r="AS5" s="301">
        <f t="shared" si="21"/>
        <v>1</v>
      </c>
      <c r="AT5" s="302">
        <f t="shared" si="22"/>
        <v>1</v>
      </c>
      <c r="AU5" s="58">
        <f>IF($C5="","",VLOOKUP($C5,CTBat!$G$10:$BR$203,AU$1,FALSE))</f>
        <v>10</v>
      </c>
      <c r="AV5" s="37">
        <f>IF($C5="","",VLOOKUP($C5,CTBat!$G$10:$BR$203,AV$1,FALSE))</f>
        <v>7</v>
      </c>
      <c r="AW5" s="37">
        <f>IF($C5="","",VLOOKUP($C5,CTBat!$G$10:$BR$203,AW$1,FALSE))</f>
        <v>5</v>
      </c>
      <c r="AX5" s="37">
        <f>IF($C5="","",VLOOKUP($C5,CTBat!$G$10:$BR$203,AX$1,FALSE))</f>
        <v>7</v>
      </c>
      <c r="AY5" s="38">
        <f>IF($C5="","",VLOOKUP($C5,CTBat!$G$10:$BR$203,AY$1,FALSE))</f>
        <v>8</v>
      </c>
      <c r="AZ5" s="67">
        <f t="shared" si="23"/>
        <v>7.6527777777777777</v>
      </c>
    </row>
    <row r="6" spans="1:52">
      <c r="A6">
        <v>4</v>
      </c>
      <c r="B6" s="36" t="s">
        <v>100</v>
      </c>
      <c r="C6" s="65" t="s">
        <v>442</v>
      </c>
      <c r="D6" s="37">
        <f>IF($C6="","",VLOOKUP($C6,CTBat!$G$10:$BR$203,D$1,FALSE))</f>
        <v>25</v>
      </c>
      <c r="E6" s="37" t="str">
        <f>IF($C6="","",VLOOKUP($C6,CTBat!$G$10:$BR$203,E$1,FALSE))</f>
        <v>R</v>
      </c>
      <c r="F6" s="53">
        <f t="shared" si="3"/>
        <v>0</v>
      </c>
      <c r="G6" s="301">
        <f t="shared" si="4"/>
        <v>0</v>
      </c>
      <c r="H6" s="301">
        <f t="shared" si="5"/>
        <v>0</v>
      </c>
      <c r="I6" s="301">
        <f t="shared" si="0"/>
        <v>0</v>
      </c>
      <c r="J6" s="58">
        <f>IF($C6="","",VLOOKUP($C6,CTBat!$G$10:$BR$203,J$1,FALSE))</f>
        <v>1</v>
      </c>
      <c r="K6" s="37">
        <f>IF($C6="","",VLOOKUP($C6,CTBat!$G$10:$BR$203,K$1,FALSE))</f>
        <v>1</v>
      </c>
      <c r="L6" s="38">
        <f>IF($C6="","",VLOOKUP($C6,CTBat!$G$10:$BR$203,L$1,FALSE))</f>
        <v>5</v>
      </c>
      <c r="M6" s="37" t="str">
        <f>IF($C6="","",VLOOKUP($C6,CTBat!$G$10:$BR$203,M$1,FALSE))</f>
        <v>-</v>
      </c>
      <c r="N6" s="37" t="str">
        <f>IF($C6="","",VLOOKUP($C6,CTBat!$G$10:$BR$203,N$1,FALSE))</f>
        <v>-</v>
      </c>
      <c r="O6" s="37" t="str">
        <f>IF($C6="","",VLOOKUP($C6,CTBat!$G$10:$BR$203,O$1,FALSE))</f>
        <v>-</v>
      </c>
      <c r="P6" s="37" t="str">
        <f>IF($C6="","",VLOOKUP($C6,CTBat!$G$10:$BR$203,P$1,FALSE))</f>
        <v>-</v>
      </c>
      <c r="Q6" s="37" t="str">
        <f>IF($C6="","",VLOOKUP($C6,CTBat!$G$10:$BR$203,Q$1,FALSE))</f>
        <v>-</v>
      </c>
      <c r="R6" s="37">
        <f>IF($C6="","",VLOOKUP($C6,CTBat!$G$10:$BR$203,R$1,FALSE))</f>
        <v>2</v>
      </c>
      <c r="S6" s="37">
        <f>IF($C6="","",VLOOKUP($C6,CTBat!$G$10:$BR$203,S$1,FALSE))</f>
        <v>2</v>
      </c>
      <c r="T6" s="38">
        <f>IF($C6="","",VLOOKUP($C6,CTBat!$G$10:$BR$203,T$1,FALSE))</f>
        <v>6</v>
      </c>
      <c r="U6" s="53">
        <f t="shared" si="1"/>
        <v>0</v>
      </c>
      <c r="V6" s="301">
        <f t="shared" si="2"/>
        <v>1</v>
      </c>
      <c r="W6" s="301">
        <f t="shared" si="6"/>
        <v>0</v>
      </c>
      <c r="X6" s="301">
        <f t="shared" si="7"/>
        <v>0</v>
      </c>
      <c r="Y6" s="301">
        <f t="shared" si="8"/>
        <v>0</v>
      </c>
      <c r="Z6" s="301">
        <f t="shared" si="9"/>
        <v>1</v>
      </c>
      <c r="AA6" s="301">
        <f t="shared" si="10"/>
        <v>1</v>
      </c>
      <c r="AB6" s="301">
        <f t="shared" si="11"/>
        <v>1</v>
      </c>
      <c r="AC6" s="302">
        <f t="shared" si="12"/>
        <v>1</v>
      </c>
      <c r="AD6" s="37">
        <f>IF($C6="","",VLOOKUP($C6,CTBat!$G$10:$BR$203,AD$1,FALSE))</f>
        <v>7</v>
      </c>
      <c r="AE6" s="37">
        <f>IF($C6="","",VLOOKUP($C6,CTBat!$G$10:$BR$203,AE$1,FALSE))</f>
        <v>6</v>
      </c>
      <c r="AF6" s="37">
        <f>IF($C6="","",VLOOKUP($C6,CTBat!$G$10:$BR$203,AF$1,FALSE))</f>
        <v>6</v>
      </c>
      <c r="AG6" s="37">
        <f>IF($C6="","",VLOOKUP($C6,CTBat!$G$10:$BR$203,AG$1,FALSE))</f>
        <v>6</v>
      </c>
      <c r="AH6" s="37">
        <f>IF($C6="","",VLOOKUP($C6,CTBat!$G$10:$BR$203,AH$1,FALSE))</f>
        <v>8</v>
      </c>
      <c r="AI6" s="58">
        <f>IF($C6="","",VLOOKUP($C6,CTBat!$G$10:$BR$203,AI$1,FALSE))</f>
        <v>3</v>
      </c>
      <c r="AJ6" s="38">
        <f>IF($C6="","",VLOOKUP($C6,CTBat!$G$10:$BR$203,AJ$1,FALSE))</f>
        <v>5</v>
      </c>
      <c r="AK6" s="67">
        <f t="shared" si="13"/>
        <v>6.5</v>
      </c>
      <c r="AL6" s="53">
        <f t="shared" si="14"/>
        <v>0</v>
      </c>
      <c r="AM6" s="301">
        <f t="shared" si="15"/>
        <v>1</v>
      </c>
      <c r="AN6" s="301">
        <f t="shared" si="16"/>
        <v>0</v>
      </c>
      <c r="AO6" s="301">
        <f t="shared" si="17"/>
        <v>0</v>
      </c>
      <c r="AP6" s="301">
        <f t="shared" si="18"/>
        <v>0</v>
      </c>
      <c r="AQ6" s="301">
        <f t="shared" si="19"/>
        <v>1</v>
      </c>
      <c r="AR6" s="301">
        <f t="shared" si="20"/>
        <v>1</v>
      </c>
      <c r="AS6" s="301">
        <f t="shared" si="21"/>
        <v>1</v>
      </c>
      <c r="AT6" s="302">
        <f t="shared" si="22"/>
        <v>1</v>
      </c>
      <c r="AU6" s="58">
        <f>IF($C6="","",VLOOKUP($C6,CTBat!$G$10:$BR$203,AU$1,FALSE))</f>
        <v>7</v>
      </c>
      <c r="AV6" s="37">
        <f>IF($C6="","",VLOOKUP($C6,CTBat!$G$10:$BR$203,AV$1,FALSE))</f>
        <v>7</v>
      </c>
      <c r="AW6" s="37">
        <f>IF($C6="","",VLOOKUP($C6,CTBat!$G$10:$BR$203,AW$1,FALSE))</f>
        <v>6</v>
      </c>
      <c r="AX6" s="37">
        <f>IF($C6="","",VLOOKUP($C6,CTBat!$G$10:$BR$203,AX$1,FALSE))</f>
        <v>6</v>
      </c>
      <c r="AY6" s="38">
        <f>IF($C6="","",VLOOKUP($C6,CTBat!$G$10:$BR$203,AY$1,FALSE))</f>
        <v>8</v>
      </c>
      <c r="AZ6" s="67">
        <f t="shared" si="23"/>
        <v>6.625</v>
      </c>
    </row>
    <row r="7" spans="1:52">
      <c r="A7">
        <v>5</v>
      </c>
      <c r="B7" s="36" t="s">
        <v>18</v>
      </c>
      <c r="C7" s="65" t="s">
        <v>53</v>
      </c>
      <c r="D7" s="37">
        <f>IF($C7="","",VLOOKUP($C7,CTBat!$G$10:$BR$203,D$1,FALSE))</f>
        <v>28</v>
      </c>
      <c r="E7" s="37" t="str">
        <f>IF($C7="","",VLOOKUP($C7,CTBat!$G$10:$BR$203,E$1,FALSE))</f>
        <v>R</v>
      </c>
      <c r="F7" s="53">
        <f t="shared" si="3"/>
        <v>0</v>
      </c>
      <c r="G7" s="301">
        <f t="shared" si="4"/>
        <v>0</v>
      </c>
      <c r="H7" s="301">
        <f t="shared" si="5"/>
        <v>0</v>
      </c>
      <c r="I7" s="301">
        <f t="shared" si="0"/>
        <v>0</v>
      </c>
      <c r="J7" s="58">
        <f>IF($C7="","",VLOOKUP($C7,CTBat!$G$10:$BR$203,J$1,FALSE))</f>
        <v>1</v>
      </c>
      <c r="K7" s="37">
        <f>IF($C7="","",VLOOKUP($C7,CTBat!$G$10:$BR$203,K$1,FALSE))</f>
        <v>1</v>
      </c>
      <c r="L7" s="38">
        <f>IF($C7="","",VLOOKUP($C7,CTBat!$G$10:$BR$203,L$1,FALSE))</f>
        <v>6</v>
      </c>
      <c r="M7" s="37" t="str">
        <f>IF($C7="","",VLOOKUP($C7,CTBat!$G$10:$BR$203,M$1,FALSE))</f>
        <v>-</v>
      </c>
      <c r="N7" s="37" t="str">
        <f>IF($C7="","",VLOOKUP($C7,CTBat!$G$10:$BR$203,N$1,FALSE))</f>
        <v>-</v>
      </c>
      <c r="O7" s="37" t="str">
        <f>IF($C7="","",VLOOKUP($C7,CTBat!$G$10:$BR$203,O$1,FALSE))</f>
        <v>-</v>
      </c>
      <c r="P7" s="37" t="str">
        <f>IF($C7="","",VLOOKUP($C7,CTBat!$G$10:$BR$203,P$1,FALSE))</f>
        <v>-</v>
      </c>
      <c r="Q7" s="37" t="str">
        <f>IF($C7="","",VLOOKUP($C7,CTBat!$G$10:$BR$203,Q$1,FALSE))</f>
        <v>-</v>
      </c>
      <c r="R7" s="37">
        <f>IF($C7="","",VLOOKUP($C7,CTBat!$G$10:$BR$203,R$1,FALSE))</f>
        <v>8</v>
      </c>
      <c r="S7" s="37" t="str">
        <f>IF($C7="","",VLOOKUP($C7,CTBat!$G$10:$BR$203,S$1,FALSE))</f>
        <v>-</v>
      </c>
      <c r="T7" s="38">
        <f>IF($C7="","",VLOOKUP($C7,CTBat!$G$10:$BR$203,T$1,FALSE))</f>
        <v>2</v>
      </c>
      <c r="U7" s="53">
        <f t="shared" si="1"/>
        <v>0</v>
      </c>
      <c r="V7" s="301">
        <f t="shared" si="2"/>
        <v>1</v>
      </c>
      <c r="W7" s="301">
        <f t="shared" si="6"/>
        <v>0</v>
      </c>
      <c r="X7" s="301">
        <f t="shared" si="7"/>
        <v>0</v>
      </c>
      <c r="Y7" s="301">
        <f t="shared" si="8"/>
        <v>0</v>
      </c>
      <c r="Z7" s="301">
        <f t="shared" si="9"/>
        <v>1</v>
      </c>
      <c r="AA7" s="301">
        <f t="shared" si="10"/>
        <v>1</v>
      </c>
      <c r="AB7" s="301">
        <f t="shared" si="11"/>
        <v>1</v>
      </c>
      <c r="AC7" s="302">
        <f t="shared" si="12"/>
        <v>1</v>
      </c>
      <c r="AD7" s="37">
        <f>IF($C7="","",VLOOKUP($C7,CTBat!$G$10:$BR$203,AD$1,FALSE))</f>
        <v>7</v>
      </c>
      <c r="AE7" s="37">
        <f>IF($C7="","",VLOOKUP($C7,CTBat!$G$10:$BR$203,AE$1,FALSE))</f>
        <v>6</v>
      </c>
      <c r="AF7" s="37">
        <f>IF($C7="","",VLOOKUP($C7,CTBat!$G$10:$BR$203,AF$1,FALSE))</f>
        <v>5</v>
      </c>
      <c r="AG7" s="37">
        <f>IF($C7="","",VLOOKUP($C7,CTBat!$G$10:$BR$203,AG$1,FALSE))</f>
        <v>5</v>
      </c>
      <c r="AH7" s="37">
        <f>IF($C7="","",VLOOKUP($C7,CTBat!$G$10:$BR$203,AH$1,FALSE))</f>
        <v>8</v>
      </c>
      <c r="AI7" s="58">
        <f>IF($C7="","",VLOOKUP($C7,CTBat!$G$10:$BR$203,AI$1,FALSE))</f>
        <v>3</v>
      </c>
      <c r="AJ7" s="38">
        <f>IF($C7="","",VLOOKUP($C7,CTBat!$G$10:$BR$203,AJ$1,FALSE))</f>
        <v>3</v>
      </c>
      <c r="AK7" s="67">
        <f t="shared" si="13"/>
        <v>6.0555555555555554</v>
      </c>
      <c r="AL7" s="53">
        <f t="shared" si="14"/>
        <v>0</v>
      </c>
      <c r="AM7" s="301">
        <f t="shared" si="15"/>
        <v>1</v>
      </c>
      <c r="AN7" s="301">
        <f t="shared" si="16"/>
        <v>0</v>
      </c>
      <c r="AO7" s="301">
        <f t="shared" si="17"/>
        <v>0</v>
      </c>
      <c r="AP7" s="301">
        <f t="shared" si="18"/>
        <v>0</v>
      </c>
      <c r="AQ7" s="301">
        <f t="shared" si="19"/>
        <v>1</v>
      </c>
      <c r="AR7" s="301">
        <f t="shared" si="20"/>
        <v>1</v>
      </c>
      <c r="AS7" s="301">
        <f t="shared" si="21"/>
        <v>1</v>
      </c>
      <c r="AT7" s="302">
        <f t="shared" si="22"/>
        <v>1</v>
      </c>
      <c r="AU7" s="58">
        <f>IF($C7="","",VLOOKUP($C7,CTBat!$G$10:$BR$203,AU$1,FALSE))</f>
        <v>7</v>
      </c>
      <c r="AV7" s="37">
        <f>IF($C7="","",VLOOKUP($C7,CTBat!$G$10:$BR$203,AV$1,FALSE))</f>
        <v>6</v>
      </c>
      <c r="AW7" s="37">
        <f>IF($C7="","",VLOOKUP($C7,CTBat!$G$10:$BR$203,AW$1,FALSE))</f>
        <v>5</v>
      </c>
      <c r="AX7" s="37">
        <f>IF($C7="","",VLOOKUP($C7,CTBat!$G$10:$BR$203,AX$1,FALSE))</f>
        <v>5</v>
      </c>
      <c r="AY7" s="38">
        <f>IF($C7="","",VLOOKUP($C7,CTBat!$G$10:$BR$203,AY$1,FALSE))</f>
        <v>8</v>
      </c>
      <c r="AZ7" s="67">
        <f t="shared" si="23"/>
        <v>6.0555555555555554</v>
      </c>
    </row>
    <row r="8" spans="1:52">
      <c r="A8">
        <v>6</v>
      </c>
      <c r="B8" s="36" t="s">
        <v>101</v>
      </c>
      <c r="C8" s="65" t="s">
        <v>449</v>
      </c>
      <c r="D8" s="37">
        <f>IF($C8="","",VLOOKUP($C8,CTBat!$G$10:$BR$203,D$1,FALSE))</f>
        <v>29</v>
      </c>
      <c r="E8" s="37" t="str">
        <f>IF($C8="","",VLOOKUP($C8,CTBat!$G$10:$BR$203,E$1,FALSE))</f>
        <v>R</v>
      </c>
      <c r="F8" s="53">
        <f t="shared" si="3"/>
        <v>1</v>
      </c>
      <c r="G8" s="301">
        <f t="shared" si="4"/>
        <v>1</v>
      </c>
      <c r="H8" s="301">
        <f t="shared" si="5"/>
        <v>0</v>
      </c>
      <c r="I8" s="301">
        <f>IF($C8="","",IF(AND(S8&gt;4,S8&lt;&gt;"-"),1,0))</f>
        <v>0</v>
      </c>
      <c r="J8" s="58">
        <f>IF($C8="","",VLOOKUP($C8,CTBat!$G$10:$BR$203,J$1,FALSE))</f>
        <v>1</v>
      </c>
      <c r="K8" s="37">
        <f>IF($C8="","",VLOOKUP($C8,CTBat!$G$10:$BR$203,K$1,FALSE))</f>
        <v>3</v>
      </c>
      <c r="L8" s="38">
        <f>IF($C8="","",VLOOKUP($C8,CTBat!$G$10:$BR$203,L$1,FALSE))</f>
        <v>3</v>
      </c>
      <c r="M8" s="37" t="str">
        <f>IF($C8="","",VLOOKUP($C8,CTBat!$G$10:$BR$203,M$1,FALSE))</f>
        <v>-</v>
      </c>
      <c r="N8" s="37">
        <f>IF($C8="","",VLOOKUP($C8,CTBat!$G$10:$BR$203,N$1,FALSE))</f>
        <v>6</v>
      </c>
      <c r="O8" s="37" t="str">
        <f>IF($C8="","",VLOOKUP($C8,CTBat!$G$10:$BR$203,O$1,FALSE))</f>
        <v>-</v>
      </c>
      <c r="P8" s="37" t="str">
        <f>IF($C8="","",VLOOKUP($C8,CTBat!$G$10:$BR$203,P$1,FALSE))</f>
        <v>-</v>
      </c>
      <c r="Q8" s="37" t="str">
        <f>IF($C8="","",VLOOKUP($C8,CTBat!$G$10:$BR$203,Q$1,FALSE))</f>
        <v>-</v>
      </c>
      <c r="R8" s="37" t="str">
        <f>IF($C8="","",VLOOKUP($C8,CTBat!$G$10:$BR$203,R$1,FALSE))</f>
        <v>-</v>
      </c>
      <c r="S8" s="37" t="str">
        <f>IF($C8="","",VLOOKUP($C8,CTBat!$G$10:$BR$203,S$1,FALSE))</f>
        <v>-</v>
      </c>
      <c r="T8" s="38" t="str">
        <f>IF($C8="","",VLOOKUP($C8,CTBat!$G$10:$BR$203,T$1,FALSE))</f>
        <v>-</v>
      </c>
      <c r="U8" s="53">
        <f t="shared" si="1"/>
        <v>0</v>
      </c>
      <c r="V8" s="301">
        <f t="shared" si="2"/>
        <v>0</v>
      </c>
      <c r="W8" s="301">
        <f t="shared" si="6"/>
        <v>0</v>
      </c>
      <c r="X8" s="301">
        <f t="shared" si="7"/>
        <v>0</v>
      </c>
      <c r="Y8" s="301">
        <f t="shared" si="8"/>
        <v>0</v>
      </c>
      <c r="Z8" s="301">
        <f t="shared" si="9"/>
        <v>0</v>
      </c>
      <c r="AA8" s="301">
        <f t="shared" si="10"/>
        <v>1</v>
      </c>
      <c r="AB8" s="301">
        <f t="shared" si="11"/>
        <v>1</v>
      </c>
      <c r="AC8" s="302">
        <f t="shared" si="12"/>
        <v>1</v>
      </c>
      <c r="AD8" s="37">
        <f>IF($C8="","",VLOOKUP($C8,CTBat!$G$10:$BR$203,AD$1,FALSE))</f>
        <v>5</v>
      </c>
      <c r="AE8" s="37">
        <f>IF($C8="","",VLOOKUP($C8,CTBat!$G$10:$BR$203,AE$1,FALSE))</f>
        <v>9</v>
      </c>
      <c r="AF8" s="37">
        <f>IF($C8="","",VLOOKUP($C8,CTBat!$G$10:$BR$203,AF$1,FALSE))</f>
        <v>8</v>
      </c>
      <c r="AG8" s="37">
        <f>IF($C8="","",VLOOKUP($C8,CTBat!$G$10:$BR$203,AG$1,FALSE))</f>
        <v>6</v>
      </c>
      <c r="AH8" s="37">
        <f>IF($C8="","",VLOOKUP($C8,CTBat!$G$10:$BR$203,AH$1,FALSE))</f>
        <v>3</v>
      </c>
      <c r="AI8" s="58">
        <f>IF($C8="","",VLOOKUP($C8,CTBat!$G$10:$BR$203,AI$1,FALSE))</f>
        <v>1</v>
      </c>
      <c r="AJ8" s="38">
        <f>IF($C8="","",VLOOKUP($C8,CTBat!$G$10:$BR$203,AJ$1,FALSE))</f>
        <v>3</v>
      </c>
      <c r="AK8" s="67">
        <f t="shared" si="13"/>
        <v>6.3055555555555554</v>
      </c>
      <c r="AL8" s="53">
        <f t="shared" si="14"/>
        <v>0</v>
      </c>
      <c r="AM8" s="301">
        <f t="shared" si="15"/>
        <v>0</v>
      </c>
      <c r="AN8" s="301">
        <f t="shared" si="16"/>
        <v>0</v>
      </c>
      <c r="AO8" s="301">
        <f t="shared" si="17"/>
        <v>0</v>
      </c>
      <c r="AP8" s="301">
        <f t="shared" si="18"/>
        <v>0</v>
      </c>
      <c r="AQ8" s="301">
        <f t="shared" si="19"/>
        <v>0</v>
      </c>
      <c r="AR8" s="301">
        <f t="shared" si="20"/>
        <v>1</v>
      </c>
      <c r="AS8" s="301">
        <f t="shared" si="21"/>
        <v>1</v>
      </c>
      <c r="AT8" s="302">
        <f t="shared" si="22"/>
        <v>1</v>
      </c>
      <c r="AU8" s="58">
        <f>IF($C8="","",VLOOKUP($C8,CTBat!$G$10:$BR$203,AU$1,FALSE))</f>
        <v>5</v>
      </c>
      <c r="AV8" s="37">
        <f>IF($C8="","",VLOOKUP($C8,CTBat!$G$10:$BR$203,AV$1,FALSE))</f>
        <v>9</v>
      </c>
      <c r="AW8" s="37">
        <f>IF($C8="","",VLOOKUP($C8,CTBat!$G$10:$BR$203,AW$1,FALSE))</f>
        <v>8</v>
      </c>
      <c r="AX8" s="37">
        <f>IF($C8="","",VLOOKUP($C8,CTBat!$G$10:$BR$203,AX$1,FALSE))</f>
        <v>6</v>
      </c>
      <c r="AY8" s="38">
        <f>IF($C8="","",VLOOKUP($C8,CTBat!$G$10:$BR$203,AY$1,FALSE))</f>
        <v>3</v>
      </c>
      <c r="AZ8" s="67">
        <f t="shared" si="23"/>
        <v>6.3055555555555554</v>
      </c>
    </row>
    <row r="9" spans="1:52">
      <c r="A9">
        <v>7</v>
      </c>
      <c r="B9" s="36" t="s">
        <v>101</v>
      </c>
      <c r="C9" s="65" t="s">
        <v>240</v>
      </c>
      <c r="D9" s="37">
        <f>IF($C9="","",VLOOKUP($C9,CTBat!$G$10:$BR$203,D$1,FALSE))</f>
        <v>26</v>
      </c>
      <c r="E9" s="37" t="str">
        <f>IF($C9="","",VLOOKUP($C9,CTBat!$G$10:$BR$203,E$1,FALSE))</f>
        <v>L</v>
      </c>
      <c r="F9" s="53">
        <f t="shared" si="3"/>
        <v>0</v>
      </c>
      <c r="G9" s="301">
        <f t="shared" si="4"/>
        <v>0</v>
      </c>
      <c r="H9" s="301">
        <f t="shared" si="5"/>
        <v>0</v>
      </c>
      <c r="I9" s="301">
        <f t="shared" ref="I9:I11" si="24">IF($C9="","",IF(AND(S9&gt;4,S9&lt;&gt;"-"),1,0))</f>
        <v>0</v>
      </c>
      <c r="J9" s="58">
        <f>IF($C9="","",VLOOKUP($C9,CTBat!$G$10:$BR$203,J$1,FALSE))</f>
        <v>1</v>
      </c>
      <c r="K9" s="37">
        <f>IF($C9="","",VLOOKUP($C9,CTBat!$G$10:$BR$203,K$1,FALSE))</f>
        <v>1</v>
      </c>
      <c r="L9" s="38">
        <f>IF($C9="","",VLOOKUP($C9,CTBat!$G$10:$BR$203,L$1,FALSE))</f>
        <v>6</v>
      </c>
      <c r="M9" s="37" t="str">
        <f>IF($C9="","",VLOOKUP($C9,CTBat!$G$10:$BR$203,M$1,FALSE))</f>
        <v>-</v>
      </c>
      <c r="N9" s="37" t="str">
        <f>IF($C9="","",VLOOKUP($C9,CTBat!$G$10:$BR$203,N$1,FALSE))</f>
        <v>-</v>
      </c>
      <c r="O9" s="37" t="str">
        <f>IF($C9="","",VLOOKUP($C9,CTBat!$G$10:$BR$203,O$1,FALSE))</f>
        <v>-</v>
      </c>
      <c r="P9" s="37" t="str">
        <f>IF($C9="","",VLOOKUP($C9,CTBat!$G$10:$BR$203,P$1,FALSE))</f>
        <v>-</v>
      </c>
      <c r="Q9" s="37" t="str">
        <f>IF($C9="","",VLOOKUP($C9,CTBat!$G$10:$BR$203,Q$1,FALSE))</f>
        <v>-</v>
      </c>
      <c r="R9" s="37">
        <f>IF($C9="","",VLOOKUP($C9,CTBat!$G$10:$BR$203,R$1,FALSE))</f>
        <v>8</v>
      </c>
      <c r="S9" s="37">
        <f>IF($C9="","",VLOOKUP($C9,CTBat!$G$10:$BR$203,S$1,FALSE))</f>
        <v>4</v>
      </c>
      <c r="T9" s="38">
        <f>IF($C9="","",VLOOKUP($C9,CTBat!$G$10:$BR$203,T$1,FALSE))</f>
        <v>7</v>
      </c>
      <c r="U9" s="53">
        <f t="shared" si="1"/>
        <v>0</v>
      </c>
      <c r="V9" s="301">
        <f t="shared" si="2"/>
        <v>1</v>
      </c>
      <c r="W9" s="301">
        <f t="shared" si="6"/>
        <v>0</v>
      </c>
      <c r="X9" s="301">
        <f t="shared" si="7"/>
        <v>0</v>
      </c>
      <c r="Y9" s="301">
        <f t="shared" si="8"/>
        <v>0</v>
      </c>
      <c r="Z9" s="301">
        <f t="shared" si="9"/>
        <v>0</v>
      </c>
      <c r="AA9" s="301">
        <f t="shared" si="10"/>
        <v>1</v>
      </c>
      <c r="AB9" s="301">
        <f t="shared" si="11"/>
        <v>1</v>
      </c>
      <c r="AC9" s="302">
        <f t="shared" si="12"/>
        <v>1</v>
      </c>
      <c r="AD9" s="37">
        <f>IF($C9="","",VLOOKUP($C9,CTBat!$G$10:$BR$203,AD$1,FALSE))</f>
        <v>6</v>
      </c>
      <c r="AE9" s="37">
        <f>IF($C9="","",VLOOKUP($C9,CTBat!$G$10:$BR$203,AE$1,FALSE))</f>
        <v>5</v>
      </c>
      <c r="AF9" s="37">
        <f>IF($C9="","",VLOOKUP($C9,CTBat!$G$10:$BR$203,AF$1,FALSE))</f>
        <v>6</v>
      </c>
      <c r="AG9" s="37">
        <f>IF($C9="","",VLOOKUP($C9,CTBat!$G$10:$BR$203,AG$1,FALSE))</f>
        <v>7</v>
      </c>
      <c r="AH9" s="37">
        <f>IF($C9="","",VLOOKUP($C9,CTBat!$G$10:$BR$203,AH$1,FALSE))</f>
        <v>6</v>
      </c>
      <c r="AI9" s="58">
        <f>IF($C9="","",VLOOKUP($C9,CTBat!$G$10:$BR$203,AI$1,FALSE))</f>
        <v>6</v>
      </c>
      <c r="AJ9" s="38">
        <f>IF($C9="","",VLOOKUP($C9,CTBat!$G$10:$BR$203,AJ$1,FALSE))</f>
        <v>8</v>
      </c>
      <c r="AK9" s="67">
        <f t="shared" si="13"/>
        <v>6.0694444444444446</v>
      </c>
      <c r="AL9" s="53">
        <f t="shared" si="14"/>
        <v>0</v>
      </c>
      <c r="AM9" s="301">
        <f t="shared" si="15"/>
        <v>1</v>
      </c>
      <c r="AN9" s="301">
        <f t="shared" si="16"/>
        <v>0</v>
      </c>
      <c r="AO9" s="301">
        <f t="shared" si="17"/>
        <v>0</v>
      </c>
      <c r="AP9" s="301">
        <f t="shared" si="18"/>
        <v>0</v>
      </c>
      <c r="AQ9" s="301">
        <f t="shared" si="19"/>
        <v>0</v>
      </c>
      <c r="AR9" s="301">
        <f t="shared" si="20"/>
        <v>1</v>
      </c>
      <c r="AS9" s="301">
        <f t="shared" si="21"/>
        <v>1</v>
      </c>
      <c r="AT9" s="302">
        <f t="shared" si="22"/>
        <v>1</v>
      </c>
      <c r="AU9" s="58">
        <f>IF($C9="","",VLOOKUP($C9,CTBat!$G$10:$BR$203,AU$1,FALSE))</f>
        <v>6</v>
      </c>
      <c r="AV9" s="37">
        <f>IF($C9="","",VLOOKUP($C9,CTBat!$G$10:$BR$203,AV$1,FALSE))</f>
        <v>5</v>
      </c>
      <c r="AW9" s="37">
        <f>IF($C9="","",VLOOKUP($C9,CTBat!$G$10:$BR$203,AW$1,FALSE))</f>
        <v>6</v>
      </c>
      <c r="AX9" s="37">
        <f>IF($C9="","",VLOOKUP($C9,CTBat!$G$10:$BR$203,AX$1,FALSE))</f>
        <v>7</v>
      </c>
      <c r="AY9" s="38">
        <f>IF($C9="","",VLOOKUP($C9,CTBat!$G$10:$BR$203,AY$1,FALSE))</f>
        <v>6</v>
      </c>
      <c r="AZ9" s="67">
        <f t="shared" si="23"/>
        <v>6.0694444444444446</v>
      </c>
    </row>
    <row r="10" spans="1:52">
      <c r="A10">
        <v>8</v>
      </c>
      <c r="B10" s="36" t="s">
        <v>101</v>
      </c>
      <c r="C10" s="65"/>
      <c r="D10" s="37" t="str">
        <f>IF($C10="","",VLOOKUP($C10,CTBat!$G$10:$BR$203,D$1,FALSE))</f>
        <v/>
      </c>
      <c r="E10" s="37" t="str">
        <f>IF($C10="","",VLOOKUP($C10,CTBat!$G$10:$BR$203,E$1,FALSE))</f>
        <v/>
      </c>
      <c r="F10" s="53" t="str">
        <f t="shared" si="3"/>
        <v/>
      </c>
      <c r="G10" s="301" t="str">
        <f t="shared" si="4"/>
        <v/>
      </c>
      <c r="H10" s="301" t="str">
        <f t="shared" si="5"/>
        <v/>
      </c>
      <c r="I10" s="301" t="str">
        <f t="shared" si="24"/>
        <v/>
      </c>
      <c r="J10" s="58" t="str">
        <f>IF($C10="","",VLOOKUP($C10,CTBat!$G$10:$BR$203,J$1,FALSE))</f>
        <v/>
      </c>
      <c r="K10" s="37" t="str">
        <f>IF($C10="","",VLOOKUP($C10,CTBat!$G$10:$BR$203,K$1,FALSE))</f>
        <v/>
      </c>
      <c r="L10" s="38" t="str">
        <f>IF($C10="","",VLOOKUP($C10,CTBat!$G$10:$BR$203,L$1,FALSE))</f>
        <v/>
      </c>
      <c r="M10" s="37" t="str">
        <f>IF($C10="","",VLOOKUP($C10,CTBat!$G$10:$BR$203,M$1,FALSE))</f>
        <v/>
      </c>
      <c r="N10" s="37" t="str">
        <f>IF($C10="","",VLOOKUP($C10,CTBat!$G$10:$BR$203,N$1,FALSE))</f>
        <v/>
      </c>
      <c r="O10" s="37" t="str">
        <f>IF($C10="","",VLOOKUP($C10,CTBat!$G$10:$BR$203,O$1,FALSE))</f>
        <v/>
      </c>
      <c r="P10" s="37" t="str">
        <f>IF($C10="","",VLOOKUP($C10,CTBat!$G$10:$BR$203,P$1,FALSE))</f>
        <v/>
      </c>
      <c r="Q10" s="37" t="str">
        <f>IF($C10="","",VLOOKUP($C10,CTBat!$G$10:$BR$203,Q$1,FALSE))</f>
        <v/>
      </c>
      <c r="R10" s="37" t="str">
        <f>IF($C10="","",VLOOKUP($C10,CTBat!$G$10:$BR$203,R$1,FALSE))</f>
        <v/>
      </c>
      <c r="S10" s="37" t="str">
        <f>IF($C10="","",VLOOKUP($C10,CTBat!$G$10:$BR$203,S$1,FALSE))</f>
        <v/>
      </c>
      <c r="T10" s="38" t="str">
        <f>IF($C10="","",VLOOKUP($C10,CTBat!$G$10:$BR$203,T$1,FALSE))</f>
        <v/>
      </c>
      <c r="U10" s="53" t="str">
        <f t="shared" si="1"/>
        <v/>
      </c>
      <c r="V10" s="301" t="str">
        <f t="shared" si="2"/>
        <v/>
      </c>
      <c r="W10" s="301" t="str">
        <f t="shared" si="6"/>
        <v/>
      </c>
      <c r="X10" s="301" t="str">
        <f t="shared" si="7"/>
        <v/>
      </c>
      <c r="Y10" s="301" t="str">
        <f t="shared" si="8"/>
        <v/>
      </c>
      <c r="Z10" s="301" t="str">
        <f t="shared" si="9"/>
        <v/>
      </c>
      <c r="AA10" s="301" t="str">
        <f t="shared" si="10"/>
        <v/>
      </c>
      <c r="AB10" s="301" t="str">
        <f t="shared" si="11"/>
        <v/>
      </c>
      <c r="AC10" s="302" t="str">
        <f t="shared" si="12"/>
        <v/>
      </c>
      <c r="AD10" s="37" t="str">
        <f>IF($C10="","",VLOOKUP($C10,CTBat!$G$10:$BR$203,AD$1,FALSE))</f>
        <v/>
      </c>
      <c r="AE10" s="37" t="str">
        <f>IF($C10="","",VLOOKUP($C10,CTBat!$G$10:$BR$203,AE$1,FALSE))</f>
        <v/>
      </c>
      <c r="AF10" s="37" t="str">
        <f>IF($C10="","",VLOOKUP($C10,CTBat!$G$10:$BR$203,AF$1,FALSE))</f>
        <v/>
      </c>
      <c r="AG10" s="37" t="str">
        <f>IF($C10="","",VLOOKUP($C10,CTBat!$G$10:$BR$203,AG$1,FALSE))</f>
        <v/>
      </c>
      <c r="AH10" s="37" t="str">
        <f>IF($C10="","",VLOOKUP($C10,CTBat!$G$10:$BR$203,AH$1,FALSE))</f>
        <v/>
      </c>
      <c r="AI10" s="58" t="str">
        <f>IF($C10="","",VLOOKUP($C10,CTBat!$G$10:$BR$203,AI$1,FALSE))</f>
        <v/>
      </c>
      <c r="AJ10" s="38" t="str">
        <f>IF($C10="","",VLOOKUP($C10,CTBat!$G$10:$BR$203,AJ$1,FALSE))</f>
        <v/>
      </c>
      <c r="AK10" s="67" t="str">
        <f t="shared" si="13"/>
        <v/>
      </c>
      <c r="AL10" s="53" t="str">
        <f t="shared" si="14"/>
        <v/>
      </c>
      <c r="AM10" s="301" t="str">
        <f t="shared" si="15"/>
        <v/>
      </c>
      <c r="AN10" s="301" t="str">
        <f t="shared" si="16"/>
        <v/>
      </c>
      <c r="AO10" s="301" t="str">
        <f t="shared" si="17"/>
        <v/>
      </c>
      <c r="AP10" s="301" t="str">
        <f t="shared" si="18"/>
        <v/>
      </c>
      <c r="AQ10" s="301" t="str">
        <f t="shared" si="19"/>
        <v/>
      </c>
      <c r="AR10" s="301" t="str">
        <f t="shared" si="20"/>
        <v/>
      </c>
      <c r="AS10" s="301" t="str">
        <f t="shared" si="21"/>
        <v/>
      </c>
      <c r="AT10" s="302" t="str">
        <f t="shared" si="22"/>
        <v/>
      </c>
      <c r="AU10" s="58" t="str">
        <f>IF($C10="","",VLOOKUP($C10,CTBat!$G$10:$BR$203,AU$1,FALSE))</f>
        <v/>
      </c>
      <c r="AV10" s="37" t="str">
        <f>IF($C10="","",VLOOKUP($C10,CTBat!$G$10:$BR$203,AV$1,FALSE))</f>
        <v/>
      </c>
      <c r="AW10" s="37" t="str">
        <f>IF($C10="","",VLOOKUP($C10,CTBat!$G$10:$BR$203,AW$1,FALSE))</f>
        <v/>
      </c>
      <c r="AX10" s="37" t="str">
        <f>IF($C10="","",VLOOKUP($C10,CTBat!$G$10:$BR$203,AX$1,FALSE))</f>
        <v/>
      </c>
      <c r="AY10" s="38" t="str">
        <f>IF($C10="","",VLOOKUP($C10,CTBat!$G$10:$BR$203,AY$1,FALSE))</f>
        <v/>
      </c>
      <c r="AZ10" s="67" t="str">
        <f t="shared" si="23"/>
        <v/>
      </c>
    </row>
    <row r="11" spans="1:52">
      <c r="A11">
        <v>9</v>
      </c>
      <c r="B11" s="39" t="s">
        <v>101</v>
      </c>
      <c r="C11" s="40"/>
      <c r="D11" s="40" t="str">
        <f>IF($C11="","",VLOOKUP($C11,CTBat!$G$10:$BR$203,D$1,FALSE))</f>
        <v/>
      </c>
      <c r="E11" s="40" t="str">
        <f>IF($C11="","",VLOOKUP($C11,CTBat!$G$10:$BR$203,E$1,FALSE))</f>
        <v/>
      </c>
      <c r="F11" s="54" t="str">
        <f t="shared" si="3"/>
        <v/>
      </c>
      <c r="G11" s="299" t="str">
        <f t="shared" si="4"/>
        <v/>
      </c>
      <c r="H11" s="299" t="str">
        <f t="shared" si="5"/>
        <v/>
      </c>
      <c r="I11" s="299" t="str">
        <f t="shared" si="24"/>
        <v/>
      </c>
      <c r="J11" s="59" t="str">
        <f>IF($C11="","",VLOOKUP($C11,CTBat!$G$10:$BR$203,J$1,FALSE))</f>
        <v/>
      </c>
      <c r="K11" s="40" t="str">
        <f>IF($C11="","",VLOOKUP($C11,CTBat!$G$10:$BR$203,K$1,FALSE))</f>
        <v/>
      </c>
      <c r="L11" s="42" t="str">
        <f>IF($C11="","",VLOOKUP($C11,CTBat!$G$10:$BR$203,L$1,FALSE))</f>
        <v/>
      </c>
      <c r="M11" s="40" t="str">
        <f>IF($C11="","",VLOOKUP($C11,CTBat!$G$10:$BR$203,M$1,FALSE))</f>
        <v/>
      </c>
      <c r="N11" s="40" t="str">
        <f>IF($C11="","",VLOOKUP($C11,CTBat!$G$10:$BR$203,N$1,FALSE))</f>
        <v/>
      </c>
      <c r="O11" s="40" t="str">
        <f>IF($C11="","",VLOOKUP($C11,CTBat!$G$10:$BR$203,O$1,FALSE))</f>
        <v/>
      </c>
      <c r="P11" s="40" t="str">
        <f>IF($C11="","",VLOOKUP($C11,CTBat!$G$10:$BR$203,P$1,FALSE))</f>
        <v/>
      </c>
      <c r="Q11" s="40" t="str">
        <f>IF($C11="","",VLOOKUP($C11,CTBat!$G$10:$BR$203,Q$1,FALSE))</f>
        <v/>
      </c>
      <c r="R11" s="40" t="str">
        <f>IF($C11="","",VLOOKUP($C11,CTBat!$G$10:$BR$203,R$1,FALSE))</f>
        <v/>
      </c>
      <c r="S11" s="40" t="str">
        <f>IF($C11="","",VLOOKUP($C11,CTBat!$G$10:$BR$203,S$1,FALSE))</f>
        <v/>
      </c>
      <c r="T11" s="42" t="str">
        <f>IF($C11="","",VLOOKUP($C11,CTBat!$G$10:$BR$203,T$1,FALSE))</f>
        <v/>
      </c>
      <c r="U11" s="54" t="str">
        <f t="shared" si="1"/>
        <v/>
      </c>
      <c r="V11" s="299" t="str">
        <f t="shared" si="2"/>
        <v/>
      </c>
      <c r="W11" s="299" t="str">
        <f t="shared" si="6"/>
        <v/>
      </c>
      <c r="X11" s="299" t="str">
        <f t="shared" si="7"/>
        <v/>
      </c>
      <c r="Y11" s="299" t="str">
        <f t="shared" si="8"/>
        <v/>
      </c>
      <c r="Z11" s="299" t="str">
        <f t="shared" si="9"/>
        <v/>
      </c>
      <c r="AA11" s="299" t="str">
        <f t="shared" si="10"/>
        <v/>
      </c>
      <c r="AB11" s="299" t="str">
        <f t="shared" si="11"/>
        <v/>
      </c>
      <c r="AC11" s="300" t="str">
        <f t="shared" si="12"/>
        <v/>
      </c>
      <c r="AD11" s="40" t="str">
        <f>IF($C11="","",VLOOKUP($C11,CTBat!$G$10:$BR$203,AD$1,FALSE))</f>
        <v/>
      </c>
      <c r="AE11" s="40" t="str">
        <f>IF($C11="","",VLOOKUP($C11,CTBat!$G$10:$BR$203,AE$1,FALSE))</f>
        <v/>
      </c>
      <c r="AF11" s="40" t="str">
        <f>IF($C11="","",VLOOKUP($C11,CTBat!$G$10:$BR$203,AF$1,FALSE))</f>
        <v/>
      </c>
      <c r="AG11" s="40" t="str">
        <f>IF($C11="","",VLOOKUP($C11,CTBat!$G$10:$BR$203,AG$1,FALSE))</f>
        <v/>
      </c>
      <c r="AH11" s="40" t="str">
        <f>IF($C11="","",VLOOKUP($C11,CTBat!$G$10:$BR$203,AH$1,FALSE))</f>
        <v/>
      </c>
      <c r="AI11" s="59" t="str">
        <f>IF($C11="","",VLOOKUP($C11,CTBat!$G$10:$BR$203,AI$1,FALSE))</f>
        <v/>
      </c>
      <c r="AJ11" s="42" t="str">
        <f>IF($C11="","",VLOOKUP($C11,CTBat!$G$10:$BR$203,AJ$1,FALSE))</f>
        <v/>
      </c>
      <c r="AK11" s="68" t="str">
        <f t="shared" si="13"/>
        <v/>
      </c>
      <c r="AL11" s="54" t="str">
        <f t="shared" si="14"/>
        <v/>
      </c>
      <c r="AM11" s="299" t="str">
        <f t="shared" si="15"/>
        <v/>
      </c>
      <c r="AN11" s="299" t="str">
        <f t="shared" si="16"/>
        <v/>
      </c>
      <c r="AO11" s="299" t="str">
        <f t="shared" si="17"/>
        <v/>
      </c>
      <c r="AP11" s="299" t="str">
        <f t="shared" si="18"/>
        <v/>
      </c>
      <c r="AQ11" s="299" t="str">
        <f t="shared" si="19"/>
        <v/>
      </c>
      <c r="AR11" s="299" t="str">
        <f t="shared" si="20"/>
        <v/>
      </c>
      <c r="AS11" s="299" t="str">
        <f t="shared" si="21"/>
        <v/>
      </c>
      <c r="AT11" s="300" t="str">
        <f t="shared" si="22"/>
        <v/>
      </c>
      <c r="AU11" s="59" t="str">
        <f>IF($C11="","",VLOOKUP($C11,CTBat!$G$10:$BR$203,AU$1,FALSE))</f>
        <v/>
      </c>
      <c r="AV11" s="40" t="str">
        <f>IF($C11="","",VLOOKUP($C11,CTBat!$G$10:$BR$203,AV$1,FALSE))</f>
        <v/>
      </c>
      <c r="AW11" s="40" t="str">
        <f>IF($C11="","",VLOOKUP($C11,CTBat!$G$10:$BR$203,AW$1,FALSE))</f>
        <v/>
      </c>
      <c r="AX11" s="40" t="str">
        <f>IF($C11="","",VLOOKUP($C11,CTBat!$G$10:$BR$203,AX$1,FALSE))</f>
        <v/>
      </c>
      <c r="AY11" s="42" t="str">
        <f>IF($C11="","",VLOOKUP($C11,CTBat!$G$10:$BR$203,AY$1,FALSE))</f>
        <v/>
      </c>
      <c r="AZ11" s="68" t="str">
        <f t="shared" si="23"/>
        <v/>
      </c>
    </row>
    <row r="13" spans="1:52" s="24" customFormat="1" ht="196.5">
      <c r="A13" s="25" t="s">
        <v>193</v>
      </c>
      <c r="B13" s="296" t="s">
        <v>125</v>
      </c>
      <c r="C13" s="44" t="str">
        <f>"Player ("&amp;COUNTA(C14:C19)&amp;")"</f>
        <v>Player (3)</v>
      </c>
      <c r="D13" s="44" t="s">
        <v>91</v>
      </c>
      <c r="E13" s="44" t="s">
        <v>101</v>
      </c>
      <c r="F13" s="51" t="str">
        <f>"Only 1 guy who only plays 2B ("&amp;SUM(F14:F19)&amp;")"</f>
        <v>Only 1 guy who only plays 2B (0)</v>
      </c>
      <c r="G13" s="46" t="str">
        <f>"2 Guys Who Play SS ("&amp;SUM(G14:G19)&amp;")"</f>
        <v>2 Guys Who Play SS (3)</v>
      </c>
      <c r="H13" s="46" t="str">
        <f>"2 guys with 3B arm ("&amp;SUM(H14:H19)&amp;")"</f>
        <v>2 guys with 3B arm (2)</v>
      </c>
      <c r="I13" s="49" t="s">
        <v>41</v>
      </c>
      <c r="J13" s="47" t="s">
        <v>136</v>
      </c>
      <c r="K13" s="47" t="s">
        <v>134</v>
      </c>
      <c r="L13" s="47" t="s">
        <v>135</v>
      </c>
      <c r="M13" s="63" t="s">
        <v>92</v>
      </c>
      <c r="N13" s="48" t="s">
        <v>94</v>
      </c>
      <c r="O13" s="48" t="s">
        <v>95</v>
      </c>
      <c r="P13" s="48" t="s">
        <v>96</v>
      </c>
      <c r="Q13" s="48" t="s">
        <v>97</v>
      </c>
      <c r="R13" s="48" t="s">
        <v>98</v>
      </c>
      <c r="S13" s="48" t="s">
        <v>99</v>
      </c>
      <c r="T13" s="49" t="s">
        <v>100</v>
      </c>
      <c r="U13" s="45" t="s">
        <v>137</v>
      </c>
      <c r="V13" s="45" t="s">
        <v>181</v>
      </c>
      <c r="W13" s="45" t="s">
        <v>138</v>
      </c>
      <c r="X13" s="45" t="s">
        <v>139</v>
      </c>
      <c r="Y13" s="45" t="s">
        <v>140</v>
      </c>
      <c r="Z13" s="45" t="s">
        <v>141</v>
      </c>
      <c r="AA13" s="45" t="s">
        <v>142</v>
      </c>
      <c r="AB13" s="45" t="s">
        <v>144</v>
      </c>
      <c r="AC13" s="45" t="s">
        <v>143</v>
      </c>
      <c r="AD13" s="63" t="s">
        <v>147</v>
      </c>
      <c r="AE13" s="48" t="s">
        <v>148</v>
      </c>
      <c r="AF13" s="48" t="s">
        <v>149</v>
      </c>
      <c r="AG13" s="48" t="s">
        <v>150</v>
      </c>
      <c r="AH13" s="48" t="s">
        <v>29</v>
      </c>
      <c r="AI13" s="48" t="s">
        <v>151</v>
      </c>
      <c r="AJ13" s="49" t="s">
        <v>152</v>
      </c>
      <c r="AK13" s="66" t="s">
        <v>157</v>
      </c>
      <c r="AL13" s="45" t="s">
        <v>137</v>
      </c>
      <c r="AM13" s="45" t="s">
        <v>181</v>
      </c>
      <c r="AN13" s="45" t="s">
        <v>138</v>
      </c>
      <c r="AO13" s="45" t="s">
        <v>139</v>
      </c>
      <c r="AP13" s="45" t="s">
        <v>140</v>
      </c>
      <c r="AQ13" s="45" t="s">
        <v>141</v>
      </c>
      <c r="AR13" s="45" t="s">
        <v>142</v>
      </c>
      <c r="AS13" s="45" t="s">
        <v>144</v>
      </c>
      <c r="AT13" s="45" t="s">
        <v>143</v>
      </c>
      <c r="AU13" s="63" t="s">
        <v>147</v>
      </c>
      <c r="AV13" s="48" t="s">
        <v>148</v>
      </c>
      <c r="AW13" s="48" t="s">
        <v>149</v>
      </c>
      <c r="AX13" s="48" t="s">
        <v>150</v>
      </c>
      <c r="AY13" s="49" t="s">
        <v>29</v>
      </c>
      <c r="AZ13" s="66" t="s">
        <v>197</v>
      </c>
    </row>
    <row r="14" spans="1:52">
      <c r="A14">
        <v>1</v>
      </c>
      <c r="B14" s="36" t="s">
        <v>95</v>
      </c>
      <c r="C14" s="37" t="s">
        <v>51</v>
      </c>
      <c r="D14" s="37">
        <f>IF($C14="","",VLOOKUP($C14,CTBat!$G$10:$BR$203,D$1,FALSE))</f>
        <v>29</v>
      </c>
      <c r="E14" s="33" t="str">
        <f>IF($C14="","",VLOOKUP($C14,CTBat!$G$10:$BR$203,E$1,FALSE))</f>
        <v>R</v>
      </c>
      <c r="F14" s="53">
        <f>IF($C14="","",IF(AND(O14&gt;0,O14=SUM(M14:T14)),1,0))</f>
        <v>0</v>
      </c>
      <c r="G14" s="301">
        <f t="shared" ref="G14:G18" si="25">IF($C14="","",IF(Q14&lt;&gt;"-",1,0))</f>
        <v>1</v>
      </c>
      <c r="H14" s="301">
        <f>IF($C14="","",IF(AND(K14&gt;5,P14&lt;&gt;"-"),1,0))</f>
        <v>0</v>
      </c>
      <c r="I14" s="302" t="str">
        <f>IF($C14="","","-")</f>
        <v>-</v>
      </c>
      <c r="J14" s="37">
        <f>IF($C14="","",VLOOKUP($C14,CTBat!$G$10:$BR$203,J$1,FALSE))</f>
        <v>1</v>
      </c>
      <c r="K14" s="37">
        <f>IF($C14="","",VLOOKUP($C14,CTBat!$G$10:$BR$203,K$1,FALSE))</f>
        <v>5</v>
      </c>
      <c r="L14" s="37">
        <f>IF($C14="","",VLOOKUP($C14,CTBat!$G$10:$BR$203,L$1,FALSE))</f>
        <v>3</v>
      </c>
      <c r="M14" s="58" t="str">
        <f>IF($C14="","",VLOOKUP($C14,CTBat!$G$10:$BR$203,M$1,FALSE))</f>
        <v>-</v>
      </c>
      <c r="N14" s="37">
        <f>IF($C14="","",VLOOKUP($C14,CTBat!$G$10:$BR$203,N$1,FALSE))</f>
        <v>8</v>
      </c>
      <c r="O14" s="37">
        <f>IF($C14="","",VLOOKUP($C14,CTBat!$G$10:$BR$203,O$1,FALSE))</f>
        <v>7</v>
      </c>
      <c r="P14" s="37">
        <f>IF($C14="","",VLOOKUP($C14,CTBat!$G$10:$BR$203,P$1,FALSE))</f>
        <v>4</v>
      </c>
      <c r="Q14" s="37">
        <f>IF($C14="","",VLOOKUP($C14,CTBat!$G$10:$BR$203,Q$1,FALSE))</f>
        <v>2</v>
      </c>
      <c r="R14" s="37" t="str">
        <f>IF($C14="","",VLOOKUP($C14,CTBat!$G$10:$BR$203,R$1,FALSE))</f>
        <v>-</v>
      </c>
      <c r="S14" s="37" t="str">
        <f>IF($C14="","",VLOOKUP($C14,CTBat!$G$10:$BR$203,S$1,FALSE))</f>
        <v>-</v>
      </c>
      <c r="T14" s="38" t="str">
        <f>IF($C14="","",VLOOKUP($C14,CTBat!$G$10:$BR$203,T$1,FALSE))</f>
        <v>-</v>
      </c>
      <c r="U14" s="301">
        <f t="shared" ref="U14:U15" si="26">IF($C14="","",IF(OR(AD14+AG14&gt;14,AND(OR(AD14+AG14&gt;12,AND(AD14&gt;6,AG14&gt;6)),AI14&gt;6,OR(AJ14&gt;=AI14,AJ14&gt;6))),1,0))</f>
        <v>0</v>
      </c>
      <c r="V14" s="301">
        <f t="shared" ref="V14:V19" si="27">IF($C14="","",IF(OR(AND(AD14&gt;6,AH14&gt;6),AD14+AG14&gt;12),1,0))</f>
        <v>1</v>
      </c>
      <c r="W14" s="301">
        <f>IF($C14="","",IF(AND(AD14&gt;6,AF14&gt;6,AG14&gt;6),1,0))</f>
        <v>0</v>
      </c>
      <c r="X14" s="301">
        <f t="shared" ref="X14:X19" si="28">IF($C14="","",IF(AND(AF14&gt;7,OR(AD14&gt;6,AG14&gt;6)),1,0))</f>
        <v>0</v>
      </c>
      <c r="Y14" s="301">
        <f t="shared" ref="Y14:Y19" si="29">IF($C14="","",IF(AND(AF14&gt;6,OR(AD14&gt;6,AG14&gt;6)),1,0))</f>
        <v>0</v>
      </c>
      <c r="Z14" s="301">
        <f t="shared" ref="Z14:Z19" si="30">IF($C14="","",IF(AND(OR(AD14&gt;6,AF14&gt;6),OR(AD14&gt;6,AG14&gt;6)),1,0))</f>
        <v>1</v>
      </c>
      <c r="AA14" s="301">
        <f t="shared" ref="AA14:AA19" si="31">IF($C14="","",IF(AND(AD14&gt;4,OR(AD14&gt;6,AF14&gt;6,AG14&gt;6)),1,0))</f>
        <v>1</v>
      </c>
      <c r="AB14" s="301">
        <f t="shared" ref="AB14:AB19" si="32">IF($C14="","",IF(AND(AD14&gt;4,OR(AD14&gt;6,AE14&gt;6,AF14&gt;6,AG14&gt;6)),1,0))</f>
        <v>1</v>
      </c>
      <c r="AC14" s="301">
        <f t="shared" ref="AC14:AC19" si="33">IF($C14="","",IF(AND(AD14&gt;4,MAX(AD14:AH14)&gt;6),1,0))</f>
        <v>1</v>
      </c>
      <c r="AD14" s="58">
        <f>IF($C14="","",VLOOKUP($C14,CTBat!$G$10:$BR$203,AD$1,FALSE))</f>
        <v>7</v>
      </c>
      <c r="AE14" s="37">
        <f>IF($C14="","",VLOOKUP($C14,CTBat!$G$10:$BR$203,AE$1,FALSE))</f>
        <v>6</v>
      </c>
      <c r="AF14" s="37">
        <f>IF($C14="","",VLOOKUP($C14,CTBat!$G$10:$BR$203,AF$1,FALSE))</f>
        <v>5</v>
      </c>
      <c r="AG14" s="37">
        <f>IF($C14="","",VLOOKUP($C14,CTBat!$G$10:$BR$203,AG$1,FALSE))</f>
        <v>7</v>
      </c>
      <c r="AH14" s="37">
        <f>IF($C14="","",VLOOKUP($C14,CTBat!$G$10:$BR$203,AH$1,FALSE))</f>
        <v>8</v>
      </c>
      <c r="AI14" s="37">
        <f>IF($C14="","",VLOOKUP($C14,CTBat!$G$10:$BR$203,AI$1,FALSE))</f>
        <v>3</v>
      </c>
      <c r="AJ14" s="38">
        <f>IF($C14="","",VLOOKUP($C14,CTBat!$G$10:$BR$203,AJ$1,FALSE))</f>
        <v>4</v>
      </c>
      <c r="AK14" s="67">
        <f>IF($C14="","",(5*AD14+4*AF14+3*AG14+2*AE14+1*AH14+0.5*(AVERAGE(AD14:AE14))+0.5*AVERAGE(AD14,AH14)+1*(AVERAGE(AD14,AF14))+1*AVERAGE(AD14,AG14))/(5+4+3+2+1+0.5+0.5+1+1))</f>
        <v>6.4444444444444446</v>
      </c>
      <c r="AL14" s="301">
        <f t="shared" ref="AL14:AL19" si="34">IF($C14="","",IF(AND(OR(AU14+AX14&gt;12,AND(AU14&gt;6,AX14&gt;6)),AI14&gt;6,OR(AJ14&gt;=AI14,AJ14&gt;6)),1,0))</f>
        <v>0</v>
      </c>
      <c r="AM14" s="301">
        <f t="shared" ref="AM14:AM19" si="35">IF($C14="","",IF(OR(AND(AU14&gt;6,AY14&gt;6),AU14+AX14&gt;12),1,0))</f>
        <v>1</v>
      </c>
      <c r="AN14" s="301">
        <f t="shared" ref="AN14:AN19" si="36">IF($C14="","",IF(AND(AU14&gt;6,AW14&gt;6,AX14&gt;6),1,0))</f>
        <v>0</v>
      </c>
      <c r="AO14" s="301">
        <f t="shared" ref="AO14:AO19" si="37">IF($C14="","",IF(AND(AW14&gt;7,OR(AU14&gt;6,AX14&gt;6)),1,0))</f>
        <v>0</v>
      </c>
      <c r="AP14" s="301">
        <f t="shared" ref="AP14:AP19" si="38">IF($C14="","",IF(AND(AW14&gt;6,OR(AU14&gt;6,AX14&gt;6)),1,0))</f>
        <v>0</v>
      </c>
      <c r="AQ14" s="301">
        <f t="shared" ref="AQ14:AQ19" si="39">IF($C14="","",IF(AND(OR(AU14&gt;6,AW14&gt;6),OR(AU14&gt;6,AX14&gt;6)),1,0))</f>
        <v>1</v>
      </c>
      <c r="AR14" s="301">
        <f t="shared" ref="AR14:AR19" si="40">IF($C14="","",IF(AND(AU14&gt;4,OR(AU14&gt;6,AW14&gt;6,AX14&gt;6)),1,0))</f>
        <v>1</v>
      </c>
      <c r="AS14" s="301">
        <f t="shared" ref="AS14:AS19" si="41">IF($C14="","",IF(AND(AU14&gt;4,OR(AU14&gt;6,AV14&gt;6,AW14&gt;6,AX14&gt;6)),1,0))</f>
        <v>1</v>
      </c>
      <c r="AT14" s="301">
        <f t="shared" ref="AT14:AT19" si="42">IF($C14="","",IF(AND(AU14&gt;4,MAX(AU14:AY14)&gt;6),1,0))</f>
        <v>1</v>
      </c>
      <c r="AU14" s="58">
        <f>IF($C14="","",VLOOKUP($C14,CTBat!$G$10:$BR$203,AU$1,FALSE))</f>
        <v>7</v>
      </c>
      <c r="AV14" s="37">
        <f>IF($C14="","",VLOOKUP($C14,CTBat!$G$10:$BR$203,AV$1,FALSE))</f>
        <v>6</v>
      </c>
      <c r="AW14" s="37">
        <f>IF($C14="","",VLOOKUP($C14,CTBat!$G$10:$BR$203,AW$1,FALSE))</f>
        <v>5</v>
      </c>
      <c r="AX14" s="37">
        <f>IF($C14="","",VLOOKUP($C14,CTBat!$G$10:$BR$203,AX$1,FALSE))</f>
        <v>7</v>
      </c>
      <c r="AY14" s="38">
        <f>IF($C14="","",VLOOKUP($C14,CTBat!$G$10:$BR$203,AY$1,FALSE))</f>
        <v>8</v>
      </c>
      <c r="AZ14" s="67">
        <f t="shared" ref="AZ14:AZ19" si="43">IF($C14="","",(5*AU14+4*AW14+3*AX14+2*AV14+1*AY14+0.5*(AVERAGE(AU14:AV14))+0.5*AVERAGE(AU14,AY14)+1*(AVERAGE(AU14,AW14))+1*AVERAGE(AU14,AX14))/(5+4+3+2+1+0.5+0.5+1+1))</f>
        <v>6.4444444444444446</v>
      </c>
    </row>
    <row r="15" spans="1:52">
      <c r="A15">
        <v>2</v>
      </c>
      <c r="B15" s="36" t="s">
        <v>96</v>
      </c>
      <c r="C15" s="65" t="s">
        <v>486</v>
      </c>
      <c r="D15" s="37">
        <f>IF($C15="","",VLOOKUP($C15,CTBat!$G$10:$BR$203,D$1,FALSE))</f>
        <v>25</v>
      </c>
      <c r="E15" s="37" t="str">
        <f>IF($C15="","",VLOOKUP($C15,CTBat!$G$10:$BR$203,E$1,FALSE))</f>
        <v>R</v>
      </c>
      <c r="F15" s="53">
        <f t="shared" ref="F15:F19" si="44">IF($C15="","",IF(AND(O15&gt;0,O15=SUM(M15:T15)),1,0))</f>
        <v>0</v>
      </c>
      <c r="G15" s="301">
        <f t="shared" si="25"/>
        <v>1</v>
      </c>
      <c r="H15" s="301">
        <f>IF($C15="","",IF(AND(K15&gt;5,P15&lt;&gt;"-"),1,0))</f>
        <v>1</v>
      </c>
      <c r="I15" s="302" t="str">
        <f t="shared" ref="I15:I19" si="45">IF($C15="","","-")</f>
        <v>-</v>
      </c>
      <c r="J15" s="37">
        <f>IF($C15="","",VLOOKUP($C15,CTBat!$G$10:$BR$203,J$1,FALSE))</f>
        <v>1</v>
      </c>
      <c r="K15" s="37">
        <f>IF($C15="","",VLOOKUP($C15,CTBat!$G$10:$BR$203,K$1,FALSE))</f>
        <v>9</v>
      </c>
      <c r="L15" s="37">
        <f>IF($C15="","",VLOOKUP($C15,CTBat!$G$10:$BR$203,L$1,FALSE))</f>
        <v>4</v>
      </c>
      <c r="M15" s="58" t="str">
        <f>IF($C15="","",VLOOKUP($C15,CTBat!$G$10:$BR$203,M$1,FALSE))</f>
        <v>-</v>
      </c>
      <c r="N15" s="37" t="str">
        <f>IF($C15="","",VLOOKUP($C15,CTBat!$G$10:$BR$203,N$1,FALSE))</f>
        <v>-</v>
      </c>
      <c r="O15" s="37">
        <f>IF($C15="","",VLOOKUP($C15,CTBat!$G$10:$BR$203,O$1,FALSE))</f>
        <v>1</v>
      </c>
      <c r="P15" s="37">
        <f>IF($C15="","",VLOOKUP($C15,CTBat!$G$10:$BR$203,P$1,FALSE))</f>
        <v>6</v>
      </c>
      <c r="Q15" s="37">
        <f>IF($C15="","",VLOOKUP($C15,CTBat!$G$10:$BR$203,Q$1,FALSE))</f>
        <v>3</v>
      </c>
      <c r="R15" s="37" t="str">
        <f>IF($C15="","",VLOOKUP($C15,CTBat!$G$10:$BR$203,R$1,FALSE))</f>
        <v>-</v>
      </c>
      <c r="S15" s="37" t="str">
        <f>IF($C15="","",VLOOKUP($C15,CTBat!$G$10:$BR$203,S$1,FALSE))</f>
        <v>-</v>
      </c>
      <c r="T15" s="38" t="str">
        <f>IF($C15="","",VLOOKUP($C15,CTBat!$G$10:$BR$203,T$1,FALSE))</f>
        <v>-</v>
      </c>
      <c r="U15" s="301">
        <f t="shared" si="26"/>
        <v>0</v>
      </c>
      <c r="V15" s="301">
        <f t="shared" si="27"/>
        <v>1</v>
      </c>
      <c r="W15" s="301">
        <f t="shared" ref="W15:W19" si="46">IF($C15="","",IF(AND(AD15&gt;6,AF15&gt;6,AG15&gt;6),1,0))</f>
        <v>0</v>
      </c>
      <c r="X15" s="301">
        <f t="shared" si="28"/>
        <v>0</v>
      </c>
      <c r="Y15" s="301">
        <f t="shared" si="29"/>
        <v>0</v>
      </c>
      <c r="Z15" s="301">
        <f t="shared" si="30"/>
        <v>1</v>
      </c>
      <c r="AA15" s="301">
        <f t="shared" si="31"/>
        <v>1</v>
      </c>
      <c r="AB15" s="301">
        <f t="shared" si="32"/>
        <v>1</v>
      </c>
      <c r="AC15" s="301">
        <f t="shared" si="33"/>
        <v>1</v>
      </c>
      <c r="AD15" s="58">
        <f>IF($C15="","",VLOOKUP($C15,CTBat!$G$10:$BR$203,AD$1,FALSE))</f>
        <v>7</v>
      </c>
      <c r="AE15" s="37">
        <f>IF($C15="","",VLOOKUP($C15,CTBat!$G$10:$BR$203,AE$1,FALSE))</f>
        <v>6</v>
      </c>
      <c r="AF15" s="37">
        <f>IF($C15="","",VLOOKUP($C15,CTBat!$G$10:$BR$203,AF$1,FALSE))</f>
        <v>2</v>
      </c>
      <c r="AG15" s="37">
        <f>IF($C15="","",VLOOKUP($C15,CTBat!$G$10:$BR$203,AG$1,FALSE))</f>
        <v>7</v>
      </c>
      <c r="AH15" s="37">
        <f>IF($C15="","",VLOOKUP($C15,CTBat!$G$10:$BR$203,AH$1,FALSE))</f>
        <v>7</v>
      </c>
      <c r="AI15" s="37">
        <f>IF($C15="","",VLOOKUP($C15,CTBat!$G$10:$BR$203,AI$1,FALSE))</f>
        <v>3</v>
      </c>
      <c r="AJ15" s="38">
        <f>IF($C15="","",VLOOKUP($C15,CTBat!$G$10:$BR$203,AJ$1,FALSE))</f>
        <v>5</v>
      </c>
      <c r="AK15" s="67">
        <f t="shared" ref="AK15:AK19" si="47">IF($C15="","",(5*AD15+4*AF15+3*AG15+2*AE15+1*AH15+0.5*(AVERAGE(AD15:AE15))+0.5*AVERAGE(AD15,AH15)+1*(AVERAGE(AD15,AF15))+1*AVERAGE(AD15,AG15))/(5+4+3+2+1+0.5+0.5+1+1))</f>
        <v>5.625</v>
      </c>
      <c r="AL15" s="301">
        <f t="shared" si="34"/>
        <v>0</v>
      </c>
      <c r="AM15" s="301">
        <f t="shared" si="35"/>
        <v>1</v>
      </c>
      <c r="AN15" s="301">
        <f t="shared" si="36"/>
        <v>0</v>
      </c>
      <c r="AO15" s="301">
        <f t="shared" si="37"/>
        <v>0</v>
      </c>
      <c r="AP15" s="301">
        <f t="shared" si="38"/>
        <v>0</v>
      </c>
      <c r="AQ15" s="301">
        <f t="shared" si="39"/>
        <v>1</v>
      </c>
      <c r="AR15" s="301">
        <f t="shared" si="40"/>
        <v>1</v>
      </c>
      <c r="AS15" s="301">
        <f t="shared" si="41"/>
        <v>1</v>
      </c>
      <c r="AT15" s="301">
        <f t="shared" si="42"/>
        <v>1</v>
      </c>
      <c r="AU15" s="58">
        <f>IF($C15="","",VLOOKUP($C15,CTBat!$G$10:$BR$203,AU$1,FALSE))</f>
        <v>7</v>
      </c>
      <c r="AV15" s="37">
        <f>IF($C15="","",VLOOKUP($C15,CTBat!$G$10:$BR$203,AV$1,FALSE))</f>
        <v>6</v>
      </c>
      <c r="AW15" s="37">
        <f>IF($C15="","",VLOOKUP($C15,CTBat!$G$10:$BR$203,AW$1,FALSE))</f>
        <v>2</v>
      </c>
      <c r="AX15" s="37">
        <f>IF($C15="","",VLOOKUP($C15,CTBat!$G$10:$BR$203,AX$1,FALSE))</f>
        <v>8</v>
      </c>
      <c r="AY15" s="38">
        <f>IF($C15="","",VLOOKUP($C15,CTBat!$G$10:$BR$203,AY$1,FALSE))</f>
        <v>7</v>
      </c>
      <c r="AZ15" s="67">
        <f t="shared" si="43"/>
        <v>5.8194444444444446</v>
      </c>
    </row>
    <row r="16" spans="1:52">
      <c r="A16">
        <v>3</v>
      </c>
      <c r="B16" s="36" t="s">
        <v>97</v>
      </c>
      <c r="C16" s="37" t="s">
        <v>43</v>
      </c>
      <c r="D16" s="37">
        <f>IF($C16="","",VLOOKUP($C16,CTBat!$G$10:$BR$203,D$1,FALSE))</f>
        <v>31</v>
      </c>
      <c r="E16" s="37" t="str">
        <f>IF($C16="","",VLOOKUP($C16,CTBat!$G$10:$BR$203,E$1,FALSE))</f>
        <v>L</v>
      </c>
      <c r="F16" s="53">
        <f t="shared" si="44"/>
        <v>0</v>
      </c>
      <c r="G16" s="301">
        <f t="shared" si="25"/>
        <v>1</v>
      </c>
      <c r="H16" s="301">
        <f t="shared" ref="H16:H19" si="48">IF($C16="","",IF(AND(K16&gt;5,P16&lt;&gt;"-"),1,0))</f>
        <v>1</v>
      </c>
      <c r="I16" s="302" t="str">
        <f t="shared" si="45"/>
        <v>-</v>
      </c>
      <c r="J16" s="37">
        <f>IF($C16="","",VLOOKUP($C16,CTBat!$G$10:$BR$203,J$1,FALSE))</f>
        <v>1</v>
      </c>
      <c r="K16" s="37">
        <f>IF($C16="","",VLOOKUP($C16,CTBat!$G$10:$BR$203,K$1,FALSE))</f>
        <v>8</v>
      </c>
      <c r="L16" s="37">
        <f>IF($C16="","",VLOOKUP($C16,CTBat!$G$10:$BR$203,L$1,FALSE))</f>
        <v>1</v>
      </c>
      <c r="M16" s="58" t="str">
        <f>IF($C16="","",VLOOKUP($C16,CTBat!$G$10:$BR$203,M$1,FALSE))</f>
        <v>-</v>
      </c>
      <c r="N16" s="37" t="str">
        <f>IF($C16="","",VLOOKUP($C16,CTBat!$G$10:$BR$203,N$1,FALSE))</f>
        <v>-</v>
      </c>
      <c r="O16" s="37">
        <f>IF($C16="","",VLOOKUP($C16,CTBat!$G$10:$BR$203,O$1,FALSE))</f>
        <v>2</v>
      </c>
      <c r="P16" s="37">
        <f>IF($C16="","",VLOOKUP($C16,CTBat!$G$10:$BR$203,P$1,FALSE))</f>
        <v>8</v>
      </c>
      <c r="Q16" s="37">
        <f>IF($C16="","",VLOOKUP($C16,CTBat!$G$10:$BR$203,Q$1,FALSE))</f>
        <v>7</v>
      </c>
      <c r="R16" s="37" t="str">
        <f>IF($C16="","",VLOOKUP($C16,CTBat!$G$10:$BR$203,R$1,FALSE))</f>
        <v>-</v>
      </c>
      <c r="S16" s="37" t="str">
        <f>IF($C16="","",VLOOKUP($C16,CTBat!$G$10:$BR$203,S$1,FALSE))</f>
        <v>-</v>
      </c>
      <c r="T16" s="38" t="str">
        <f>IF($C16="","",VLOOKUP($C16,CTBat!$G$10:$BR$203,T$1,FALSE))</f>
        <v>-</v>
      </c>
      <c r="U16" s="301">
        <f>IF($C16="","",IF(OR(AD16+AG16&gt;14,AND(OR(AD16+AG16&gt;12,AND(AD16&gt;6,AG16&gt;6)),AI16&gt;6,OR(AJ16&gt;=AI16,AJ16&gt;6))),1,0))</f>
        <v>1</v>
      </c>
      <c r="V16" s="301">
        <f t="shared" si="27"/>
        <v>1</v>
      </c>
      <c r="W16" s="301">
        <f t="shared" si="46"/>
        <v>1</v>
      </c>
      <c r="X16" s="301">
        <f t="shared" si="28"/>
        <v>1</v>
      </c>
      <c r="Y16" s="301">
        <f t="shared" si="29"/>
        <v>1</v>
      </c>
      <c r="Z16" s="301">
        <f t="shared" si="30"/>
        <v>1</v>
      </c>
      <c r="AA16" s="301">
        <f t="shared" si="31"/>
        <v>1</v>
      </c>
      <c r="AB16" s="301">
        <f t="shared" si="32"/>
        <v>1</v>
      </c>
      <c r="AC16" s="301">
        <f t="shared" si="33"/>
        <v>1</v>
      </c>
      <c r="AD16" s="58">
        <f>IF($C16="","",VLOOKUP($C16,CTBat!$G$10:$BR$203,AD$1,FALSE))</f>
        <v>8</v>
      </c>
      <c r="AE16" s="37">
        <f>IF($C16="","",VLOOKUP($C16,CTBat!$G$10:$BR$203,AE$1,FALSE))</f>
        <v>8</v>
      </c>
      <c r="AF16" s="37">
        <f>IF($C16="","",VLOOKUP($C16,CTBat!$G$10:$BR$203,AF$1,FALSE))</f>
        <v>10</v>
      </c>
      <c r="AG16" s="37">
        <f>IF($C16="","",VLOOKUP($C16,CTBat!$G$10:$BR$203,AG$1,FALSE))</f>
        <v>7</v>
      </c>
      <c r="AH16" s="37">
        <f>IF($C16="","",VLOOKUP($C16,CTBat!$G$10:$BR$203,AH$1,FALSE))</f>
        <v>4</v>
      </c>
      <c r="AI16" s="37">
        <f>IF($C16="","",VLOOKUP($C16,CTBat!$G$10:$BR$203,AI$1,FALSE))</f>
        <v>2</v>
      </c>
      <c r="AJ16" s="38">
        <f>IF($C16="","",VLOOKUP($C16,CTBat!$G$10:$BR$203,AJ$1,FALSE))</f>
        <v>4</v>
      </c>
      <c r="AK16" s="67">
        <f t="shared" si="47"/>
        <v>8.0277777777777786</v>
      </c>
      <c r="AL16" s="301">
        <f t="shared" si="34"/>
        <v>0</v>
      </c>
      <c r="AM16" s="301">
        <f t="shared" si="35"/>
        <v>1</v>
      </c>
      <c r="AN16" s="301">
        <f t="shared" si="36"/>
        <v>1</v>
      </c>
      <c r="AO16" s="301">
        <f t="shared" si="37"/>
        <v>1</v>
      </c>
      <c r="AP16" s="301">
        <f t="shared" si="38"/>
        <v>1</v>
      </c>
      <c r="AQ16" s="301">
        <f t="shared" si="39"/>
        <v>1</v>
      </c>
      <c r="AR16" s="301">
        <f t="shared" si="40"/>
        <v>1</v>
      </c>
      <c r="AS16" s="301">
        <f t="shared" si="41"/>
        <v>1</v>
      </c>
      <c r="AT16" s="301">
        <f t="shared" si="42"/>
        <v>1</v>
      </c>
      <c r="AU16" s="58">
        <f>IF($C16="","",VLOOKUP($C16,CTBat!$G$10:$BR$203,AU$1,FALSE))</f>
        <v>8</v>
      </c>
      <c r="AV16" s="37">
        <f>IF($C16="","",VLOOKUP($C16,CTBat!$G$10:$BR$203,AV$1,FALSE))</f>
        <v>8</v>
      </c>
      <c r="AW16" s="37">
        <f>IF($C16="","",VLOOKUP($C16,CTBat!$G$10:$BR$203,AW$1,FALSE))</f>
        <v>10</v>
      </c>
      <c r="AX16" s="37">
        <f>IF($C16="","",VLOOKUP($C16,CTBat!$G$10:$BR$203,AX$1,FALSE))</f>
        <v>8</v>
      </c>
      <c r="AY16" s="38">
        <f>IF($C16="","",VLOOKUP($C16,CTBat!$G$10:$BR$203,AY$1,FALSE))</f>
        <v>4</v>
      </c>
      <c r="AZ16" s="67">
        <f t="shared" si="43"/>
        <v>8.2222222222222214</v>
      </c>
    </row>
    <row r="17" spans="1:52">
      <c r="A17">
        <v>4</v>
      </c>
      <c r="B17" s="36" t="s">
        <v>101</v>
      </c>
      <c r="C17" s="37"/>
      <c r="D17" s="37" t="str">
        <f>IF($C17="","",VLOOKUP($C17,CTBat!$G$10:$BR$203,D$1,FALSE))</f>
        <v/>
      </c>
      <c r="E17" s="37" t="str">
        <f>IF($C17="","",VLOOKUP($C17,CTBat!$G$10:$BR$203,E$1,FALSE))</f>
        <v/>
      </c>
      <c r="F17" s="53" t="str">
        <f t="shared" si="44"/>
        <v/>
      </c>
      <c r="G17" s="301" t="str">
        <f t="shared" si="25"/>
        <v/>
      </c>
      <c r="H17" s="301" t="str">
        <f t="shared" si="48"/>
        <v/>
      </c>
      <c r="I17" s="302" t="str">
        <f t="shared" si="45"/>
        <v/>
      </c>
      <c r="J17" s="37" t="str">
        <f>IF($C17="","",VLOOKUP($C17,CTBat!$G$10:$BR$203,J$1,FALSE))</f>
        <v/>
      </c>
      <c r="K17" s="37" t="str">
        <f>IF($C17="","",VLOOKUP($C17,CTBat!$G$10:$BR$203,K$1,FALSE))</f>
        <v/>
      </c>
      <c r="L17" s="37" t="str">
        <f>IF($C17="","",VLOOKUP($C17,CTBat!$G$10:$BR$203,L$1,FALSE))</f>
        <v/>
      </c>
      <c r="M17" s="58" t="str">
        <f>IF($C17="","",VLOOKUP($C17,CTBat!$G$10:$BR$203,M$1,FALSE))</f>
        <v/>
      </c>
      <c r="N17" s="37" t="str">
        <f>IF($C17="","",VLOOKUP($C17,CTBat!$G$10:$BR$203,N$1,FALSE))</f>
        <v/>
      </c>
      <c r="O17" s="37" t="str">
        <f>IF($C17="","",VLOOKUP($C17,CTBat!$G$10:$BR$203,O$1,FALSE))</f>
        <v/>
      </c>
      <c r="P17" s="37" t="str">
        <f>IF($C17="","",VLOOKUP($C17,CTBat!$G$10:$BR$203,P$1,FALSE))</f>
        <v/>
      </c>
      <c r="Q17" s="37" t="str">
        <f>IF($C17="","",VLOOKUP($C17,CTBat!$G$10:$BR$203,Q$1,FALSE))</f>
        <v/>
      </c>
      <c r="R17" s="37" t="str">
        <f>IF($C17="","",VLOOKUP($C17,CTBat!$G$10:$BR$203,R$1,FALSE))</f>
        <v/>
      </c>
      <c r="S17" s="37" t="str">
        <f>IF($C17="","",VLOOKUP($C17,CTBat!$G$10:$BR$203,S$1,FALSE))</f>
        <v/>
      </c>
      <c r="T17" s="38" t="str">
        <f>IF($C17="","",VLOOKUP($C17,CTBat!$G$10:$BR$203,T$1,FALSE))</f>
        <v/>
      </c>
      <c r="U17" s="301" t="str">
        <f t="shared" ref="U17:U19" si="49">IF($C17="","",IF(OR(AD17+AG17&gt;14,AND(OR(AD17+AG17&gt;12,AND(AD17&gt;6,AG17&gt;6)),AI17&gt;6,OR(AJ17&gt;=AI17,AJ17&gt;6))),1,0))</f>
        <v/>
      </c>
      <c r="V17" s="301" t="str">
        <f t="shared" si="27"/>
        <v/>
      </c>
      <c r="W17" s="301" t="str">
        <f t="shared" si="46"/>
        <v/>
      </c>
      <c r="X17" s="301" t="str">
        <f t="shared" si="28"/>
        <v/>
      </c>
      <c r="Y17" s="301" t="str">
        <f t="shared" si="29"/>
        <v/>
      </c>
      <c r="Z17" s="301" t="str">
        <f t="shared" si="30"/>
        <v/>
      </c>
      <c r="AA17" s="301" t="str">
        <f t="shared" si="31"/>
        <v/>
      </c>
      <c r="AB17" s="301" t="str">
        <f t="shared" si="32"/>
        <v/>
      </c>
      <c r="AC17" s="301" t="str">
        <f t="shared" si="33"/>
        <v/>
      </c>
      <c r="AD17" s="58" t="str">
        <f>IF($C17="","",VLOOKUP($C17,CTBat!$G$10:$BR$203,AD$1,FALSE))</f>
        <v/>
      </c>
      <c r="AE17" s="37" t="str">
        <f>IF($C17="","",VLOOKUP($C17,CTBat!$G$10:$BR$203,AE$1,FALSE))</f>
        <v/>
      </c>
      <c r="AF17" s="37" t="str">
        <f>IF($C17="","",VLOOKUP($C17,CTBat!$G$10:$BR$203,AF$1,FALSE))</f>
        <v/>
      </c>
      <c r="AG17" s="37" t="str">
        <f>IF($C17="","",VLOOKUP($C17,CTBat!$G$10:$BR$203,AG$1,FALSE))</f>
        <v/>
      </c>
      <c r="AH17" s="37" t="str">
        <f>IF($C17="","",VLOOKUP($C17,CTBat!$G$10:$BR$203,AH$1,FALSE))</f>
        <v/>
      </c>
      <c r="AI17" s="37" t="str">
        <f>IF($C17="","",VLOOKUP($C17,CTBat!$G$10:$BR$203,AI$1,FALSE))</f>
        <v/>
      </c>
      <c r="AJ17" s="38" t="str">
        <f>IF($C17="","",VLOOKUP($C17,CTBat!$G$10:$BR$203,AJ$1,FALSE))</f>
        <v/>
      </c>
      <c r="AK17" s="67" t="str">
        <f t="shared" si="47"/>
        <v/>
      </c>
      <c r="AL17" s="301" t="str">
        <f t="shared" si="34"/>
        <v/>
      </c>
      <c r="AM17" s="301" t="str">
        <f t="shared" si="35"/>
        <v/>
      </c>
      <c r="AN17" s="301" t="str">
        <f t="shared" si="36"/>
        <v/>
      </c>
      <c r="AO17" s="301" t="str">
        <f t="shared" si="37"/>
        <v/>
      </c>
      <c r="AP17" s="301" t="str">
        <f t="shared" si="38"/>
        <v/>
      </c>
      <c r="AQ17" s="301" t="str">
        <f t="shared" si="39"/>
        <v/>
      </c>
      <c r="AR17" s="301" t="str">
        <f t="shared" si="40"/>
        <v/>
      </c>
      <c r="AS17" s="301" t="str">
        <f t="shared" si="41"/>
        <v/>
      </c>
      <c r="AT17" s="301" t="str">
        <f t="shared" si="42"/>
        <v/>
      </c>
      <c r="AU17" s="58" t="str">
        <f>IF($C17="","",VLOOKUP($C17,CTBat!$G$10:$BR$203,AU$1,FALSE))</f>
        <v/>
      </c>
      <c r="AV17" s="37" t="str">
        <f>IF($C17="","",VLOOKUP($C17,CTBat!$G$10:$BR$203,AV$1,FALSE))</f>
        <v/>
      </c>
      <c r="AW17" s="37" t="str">
        <f>IF($C17="","",VLOOKUP($C17,CTBat!$G$10:$BR$203,AW$1,FALSE))</f>
        <v/>
      </c>
      <c r="AX17" s="37" t="str">
        <f>IF($C17="","",VLOOKUP($C17,CTBat!$G$10:$BR$203,AX$1,FALSE))</f>
        <v/>
      </c>
      <c r="AY17" s="38" t="str">
        <f>IF($C17="","",VLOOKUP($C17,CTBat!$G$10:$BR$203,AY$1,FALSE))</f>
        <v/>
      </c>
      <c r="AZ17" s="67" t="str">
        <f t="shared" si="43"/>
        <v/>
      </c>
    </row>
    <row r="18" spans="1:52">
      <c r="A18">
        <v>5</v>
      </c>
      <c r="B18" s="36" t="s">
        <v>101</v>
      </c>
      <c r="C18" s="65"/>
      <c r="D18" s="37" t="str">
        <f>IF($C18="","",VLOOKUP($C18,CTBat!$G$10:$BR$203,D$1,FALSE))</f>
        <v/>
      </c>
      <c r="E18" s="37" t="str">
        <f>IF($C18="","",VLOOKUP($C18,CTBat!$G$10:$BR$203,E$1,FALSE))</f>
        <v/>
      </c>
      <c r="F18" s="53" t="str">
        <f t="shared" si="44"/>
        <v/>
      </c>
      <c r="G18" s="301" t="str">
        <f t="shared" si="25"/>
        <v/>
      </c>
      <c r="H18" s="301" t="str">
        <f t="shared" si="48"/>
        <v/>
      </c>
      <c r="I18" s="302" t="str">
        <f t="shared" si="45"/>
        <v/>
      </c>
      <c r="J18" s="37" t="str">
        <f>IF($C18="","",VLOOKUP($C18,CTBat!$G$10:$BR$203,J$1,FALSE))</f>
        <v/>
      </c>
      <c r="K18" s="37" t="str">
        <f>IF($C18="","",VLOOKUP($C18,CTBat!$G$10:$BR$203,K$1,FALSE))</f>
        <v/>
      </c>
      <c r="L18" s="37" t="str">
        <f>IF($C18="","",VLOOKUP($C18,CTBat!$G$10:$BR$203,L$1,FALSE))</f>
        <v/>
      </c>
      <c r="M18" s="58" t="str">
        <f>IF($C18="","",VLOOKUP($C18,CTBat!$G$10:$BR$203,M$1,FALSE))</f>
        <v/>
      </c>
      <c r="N18" s="37" t="str">
        <f>IF($C18="","",VLOOKUP($C18,CTBat!$G$10:$BR$203,N$1,FALSE))</f>
        <v/>
      </c>
      <c r="O18" s="37" t="str">
        <f>IF($C18="","",VLOOKUP($C18,CTBat!$G$10:$BR$203,O$1,FALSE))</f>
        <v/>
      </c>
      <c r="P18" s="37" t="str">
        <f>IF($C18="","",VLOOKUP($C18,CTBat!$G$10:$BR$203,P$1,FALSE))</f>
        <v/>
      </c>
      <c r="Q18" s="37" t="str">
        <f>IF($C18="","",VLOOKUP($C18,CTBat!$G$10:$BR$203,Q$1,FALSE))</f>
        <v/>
      </c>
      <c r="R18" s="37" t="str">
        <f>IF($C18="","",VLOOKUP($C18,CTBat!$G$10:$BR$203,R$1,FALSE))</f>
        <v/>
      </c>
      <c r="S18" s="37" t="str">
        <f>IF($C18="","",VLOOKUP($C18,CTBat!$G$10:$BR$203,S$1,FALSE))</f>
        <v/>
      </c>
      <c r="T18" s="38" t="str">
        <f>IF($C18="","",VLOOKUP($C18,CTBat!$G$10:$BR$203,T$1,FALSE))</f>
        <v/>
      </c>
      <c r="U18" s="301" t="str">
        <f t="shared" si="49"/>
        <v/>
      </c>
      <c r="V18" s="301" t="str">
        <f t="shared" si="27"/>
        <v/>
      </c>
      <c r="W18" s="301" t="str">
        <f t="shared" si="46"/>
        <v/>
      </c>
      <c r="X18" s="301" t="str">
        <f t="shared" si="28"/>
        <v/>
      </c>
      <c r="Y18" s="301" t="str">
        <f t="shared" si="29"/>
        <v/>
      </c>
      <c r="Z18" s="301" t="str">
        <f t="shared" si="30"/>
        <v/>
      </c>
      <c r="AA18" s="301" t="str">
        <f t="shared" si="31"/>
        <v/>
      </c>
      <c r="AB18" s="301" t="str">
        <f t="shared" si="32"/>
        <v/>
      </c>
      <c r="AC18" s="301" t="str">
        <f t="shared" si="33"/>
        <v/>
      </c>
      <c r="AD18" s="58" t="str">
        <f>IF($C18="","",VLOOKUP($C18,CTBat!$G$10:$BR$203,AD$1,FALSE))</f>
        <v/>
      </c>
      <c r="AE18" s="37" t="str">
        <f>IF($C18="","",VLOOKUP($C18,CTBat!$G$10:$BR$203,AE$1,FALSE))</f>
        <v/>
      </c>
      <c r="AF18" s="37" t="str">
        <f>IF($C18="","",VLOOKUP($C18,CTBat!$G$10:$BR$203,AF$1,FALSE))</f>
        <v/>
      </c>
      <c r="AG18" s="37" t="str">
        <f>IF($C18="","",VLOOKUP($C18,CTBat!$G$10:$BR$203,AG$1,FALSE))</f>
        <v/>
      </c>
      <c r="AH18" s="37" t="str">
        <f>IF($C18="","",VLOOKUP($C18,CTBat!$G$10:$BR$203,AH$1,FALSE))</f>
        <v/>
      </c>
      <c r="AI18" s="37" t="str">
        <f>IF($C18="","",VLOOKUP($C18,CTBat!$G$10:$BR$203,AI$1,FALSE))</f>
        <v/>
      </c>
      <c r="AJ18" s="38" t="str">
        <f>IF($C18="","",VLOOKUP($C18,CTBat!$G$10:$BR$203,AJ$1,FALSE))</f>
        <v/>
      </c>
      <c r="AK18" s="67" t="str">
        <f t="shared" si="47"/>
        <v/>
      </c>
      <c r="AL18" s="301" t="str">
        <f t="shared" si="34"/>
        <v/>
      </c>
      <c r="AM18" s="301" t="str">
        <f t="shared" si="35"/>
        <v/>
      </c>
      <c r="AN18" s="301" t="str">
        <f t="shared" si="36"/>
        <v/>
      </c>
      <c r="AO18" s="301" t="str">
        <f t="shared" si="37"/>
        <v/>
      </c>
      <c r="AP18" s="301" t="str">
        <f t="shared" si="38"/>
        <v/>
      </c>
      <c r="AQ18" s="301" t="str">
        <f t="shared" si="39"/>
        <v/>
      </c>
      <c r="AR18" s="301" t="str">
        <f t="shared" si="40"/>
        <v/>
      </c>
      <c r="AS18" s="301" t="str">
        <f t="shared" si="41"/>
        <v/>
      </c>
      <c r="AT18" s="301" t="str">
        <f t="shared" si="42"/>
        <v/>
      </c>
      <c r="AU18" s="58" t="str">
        <f>IF($C18="","",VLOOKUP($C18,CTBat!$G$10:$BR$203,AU$1,FALSE))</f>
        <v/>
      </c>
      <c r="AV18" s="37" t="str">
        <f>IF($C18="","",VLOOKUP($C18,CTBat!$G$10:$BR$203,AV$1,FALSE))</f>
        <v/>
      </c>
      <c r="AW18" s="37" t="str">
        <f>IF($C18="","",VLOOKUP($C18,CTBat!$G$10:$BR$203,AW$1,FALSE))</f>
        <v/>
      </c>
      <c r="AX18" s="37" t="str">
        <f>IF($C18="","",VLOOKUP($C18,CTBat!$G$10:$BR$203,AX$1,FALSE))</f>
        <v/>
      </c>
      <c r="AY18" s="38" t="str">
        <f>IF($C18="","",VLOOKUP($C18,CTBat!$G$10:$BR$203,AY$1,FALSE))</f>
        <v/>
      </c>
      <c r="AZ18" s="67" t="str">
        <f t="shared" si="43"/>
        <v/>
      </c>
    </row>
    <row r="19" spans="1:52">
      <c r="A19">
        <v>6</v>
      </c>
      <c r="B19" s="39" t="s">
        <v>101</v>
      </c>
      <c r="C19" s="40"/>
      <c r="D19" s="40" t="str">
        <f>IF($C19="","",VLOOKUP($C19,CTBat!$G$10:$BR$203,D$1,FALSE))</f>
        <v/>
      </c>
      <c r="E19" s="40" t="str">
        <f>IF($C19="","",VLOOKUP($C19,CTBat!$G$10:$BR$203,E$1,FALSE))</f>
        <v/>
      </c>
      <c r="F19" s="54" t="str">
        <f t="shared" si="44"/>
        <v/>
      </c>
      <c r="G19" s="299" t="str">
        <f>IF($C19="","",IF(Q19&lt;&gt;"-",1,0))</f>
        <v/>
      </c>
      <c r="H19" s="299" t="str">
        <f t="shared" si="48"/>
        <v/>
      </c>
      <c r="I19" s="300" t="str">
        <f t="shared" si="45"/>
        <v/>
      </c>
      <c r="J19" s="40" t="str">
        <f>IF($C19="","",VLOOKUP($C19,CTBat!$G$10:$BR$203,J$1,FALSE))</f>
        <v/>
      </c>
      <c r="K19" s="40" t="str">
        <f>IF($C19="","",VLOOKUP($C19,CTBat!$G$10:$BR$203,K$1,FALSE))</f>
        <v/>
      </c>
      <c r="L19" s="40" t="str">
        <f>IF($C19="","",VLOOKUP($C19,CTBat!$G$10:$BR$203,L$1,FALSE))</f>
        <v/>
      </c>
      <c r="M19" s="59" t="str">
        <f>IF($C19="","",VLOOKUP($C19,CTBat!$G$10:$BR$203,M$1,FALSE))</f>
        <v/>
      </c>
      <c r="N19" s="40" t="str">
        <f>IF($C19="","",VLOOKUP($C19,CTBat!$G$10:$BR$203,N$1,FALSE))</f>
        <v/>
      </c>
      <c r="O19" s="40" t="str">
        <f>IF($C19="","",VLOOKUP($C19,CTBat!$G$10:$BR$203,O$1,FALSE))</f>
        <v/>
      </c>
      <c r="P19" s="40" t="str">
        <f>IF($C19="","",VLOOKUP($C19,CTBat!$G$10:$BR$203,P$1,FALSE))</f>
        <v/>
      </c>
      <c r="Q19" s="40" t="str">
        <f>IF($C19="","",VLOOKUP($C19,CTBat!$G$10:$BR$203,Q$1,FALSE))</f>
        <v/>
      </c>
      <c r="R19" s="40" t="str">
        <f>IF($C19="","",VLOOKUP($C19,CTBat!$G$10:$BR$203,R$1,FALSE))</f>
        <v/>
      </c>
      <c r="S19" s="40" t="str">
        <f>IF($C19="","",VLOOKUP($C19,CTBat!$G$10:$BR$203,S$1,FALSE))</f>
        <v/>
      </c>
      <c r="T19" s="42" t="str">
        <f>IF($C19="","",VLOOKUP($C19,CTBat!$G$10:$BR$203,T$1,FALSE))</f>
        <v/>
      </c>
      <c r="U19" s="299" t="str">
        <f t="shared" si="49"/>
        <v/>
      </c>
      <c r="V19" s="299" t="str">
        <f t="shared" si="27"/>
        <v/>
      </c>
      <c r="W19" s="299" t="str">
        <f t="shared" si="46"/>
        <v/>
      </c>
      <c r="X19" s="299" t="str">
        <f t="shared" si="28"/>
        <v/>
      </c>
      <c r="Y19" s="299" t="str">
        <f t="shared" si="29"/>
        <v/>
      </c>
      <c r="Z19" s="299" t="str">
        <f t="shared" si="30"/>
        <v/>
      </c>
      <c r="AA19" s="299" t="str">
        <f t="shared" si="31"/>
        <v/>
      </c>
      <c r="AB19" s="299" t="str">
        <f t="shared" si="32"/>
        <v/>
      </c>
      <c r="AC19" s="299" t="str">
        <f t="shared" si="33"/>
        <v/>
      </c>
      <c r="AD19" s="59" t="str">
        <f>IF($C19="","",VLOOKUP($C19,CTBat!$G$10:$BR$203,AD$1,FALSE))</f>
        <v/>
      </c>
      <c r="AE19" s="40" t="str">
        <f>IF($C19="","",VLOOKUP($C19,CTBat!$G$10:$BR$203,AE$1,FALSE))</f>
        <v/>
      </c>
      <c r="AF19" s="40" t="str">
        <f>IF($C19="","",VLOOKUP($C19,CTBat!$G$10:$BR$203,AF$1,FALSE))</f>
        <v/>
      </c>
      <c r="AG19" s="40" t="str">
        <f>IF($C19="","",VLOOKUP($C19,CTBat!$G$10:$BR$203,AG$1,FALSE))</f>
        <v/>
      </c>
      <c r="AH19" s="40" t="str">
        <f>IF($C19="","",VLOOKUP($C19,CTBat!$G$10:$BR$203,AH$1,FALSE))</f>
        <v/>
      </c>
      <c r="AI19" s="40" t="str">
        <f>IF($C19="","",VLOOKUP($C19,CTBat!$G$10:$BR$203,AI$1,FALSE))</f>
        <v/>
      </c>
      <c r="AJ19" s="42" t="str">
        <f>IF($C19="","",VLOOKUP($C19,CTBat!$G$10:$BR$203,AJ$1,FALSE))</f>
        <v/>
      </c>
      <c r="AK19" s="68" t="str">
        <f t="shared" si="47"/>
        <v/>
      </c>
      <c r="AL19" s="299" t="str">
        <f t="shared" si="34"/>
        <v/>
      </c>
      <c r="AM19" s="299" t="str">
        <f t="shared" si="35"/>
        <v/>
      </c>
      <c r="AN19" s="299" t="str">
        <f t="shared" si="36"/>
        <v/>
      </c>
      <c r="AO19" s="299" t="str">
        <f t="shared" si="37"/>
        <v/>
      </c>
      <c r="AP19" s="299" t="str">
        <f t="shared" si="38"/>
        <v/>
      </c>
      <c r="AQ19" s="299" t="str">
        <f t="shared" si="39"/>
        <v/>
      </c>
      <c r="AR19" s="299" t="str">
        <f t="shared" si="40"/>
        <v/>
      </c>
      <c r="AS19" s="299" t="str">
        <f t="shared" si="41"/>
        <v/>
      </c>
      <c r="AT19" s="299" t="str">
        <f t="shared" si="42"/>
        <v/>
      </c>
      <c r="AU19" s="59" t="str">
        <f>IF($C19="","",VLOOKUP($C19,CTBat!$G$10:$BR$203,AU$1,FALSE))</f>
        <v/>
      </c>
      <c r="AV19" s="40" t="str">
        <f>IF($C19="","",VLOOKUP($C19,CTBat!$G$10:$BR$203,AV$1,FALSE))</f>
        <v/>
      </c>
      <c r="AW19" s="40" t="str">
        <f>IF($C19="","",VLOOKUP($C19,CTBat!$G$10:$BR$203,AW$1,FALSE))</f>
        <v/>
      </c>
      <c r="AX19" s="40" t="str">
        <f>IF($C19="","",VLOOKUP($C19,CTBat!$G$10:$BR$203,AX$1,FALSE))</f>
        <v/>
      </c>
      <c r="AY19" s="42" t="str">
        <f>IF($C19="","",VLOOKUP($C19,CTBat!$G$10:$BR$203,AY$1,FALSE))</f>
        <v/>
      </c>
      <c r="AZ19" s="68" t="str">
        <f t="shared" si="43"/>
        <v/>
      </c>
    </row>
    <row r="21" spans="1:52" ht="196.5">
      <c r="A21" s="25" t="s">
        <v>193</v>
      </c>
      <c r="B21" s="296" t="s">
        <v>133</v>
      </c>
      <c r="C21" s="44" t="str">
        <f>"Player ("&amp;COUNTA(C22:C24)&amp;")"</f>
        <v>Player (1)</v>
      </c>
      <c r="D21" s="44" t="s">
        <v>91</v>
      </c>
      <c r="E21" s="44" t="s">
        <v>101</v>
      </c>
      <c r="F21" s="64" t="str">
        <f>"Strong C Arm ("&amp;SUM(F22:F24)&amp;")"</f>
        <v>Strong C Arm (1)</v>
      </c>
      <c r="G21" s="48" t="s">
        <v>41</v>
      </c>
      <c r="H21" s="48" t="s">
        <v>41</v>
      </c>
      <c r="I21" s="48" t="s">
        <v>41</v>
      </c>
      <c r="J21" s="55" t="s">
        <v>136</v>
      </c>
      <c r="K21" s="47" t="s">
        <v>134</v>
      </c>
      <c r="L21" s="56" t="s">
        <v>135</v>
      </c>
      <c r="M21" s="48" t="s">
        <v>92</v>
      </c>
      <c r="N21" s="48" t="s">
        <v>94</v>
      </c>
      <c r="O21" s="48" t="s">
        <v>95</v>
      </c>
      <c r="P21" s="48" t="s">
        <v>96</v>
      </c>
      <c r="Q21" s="48" t="s">
        <v>97</v>
      </c>
      <c r="R21" s="48" t="s">
        <v>98</v>
      </c>
      <c r="S21" s="48" t="s">
        <v>99</v>
      </c>
      <c r="T21" s="49" t="s">
        <v>100</v>
      </c>
      <c r="U21" s="45" t="s">
        <v>137</v>
      </c>
      <c r="V21" s="45" t="s">
        <v>181</v>
      </c>
      <c r="W21" s="45" t="s">
        <v>138</v>
      </c>
      <c r="X21" s="45" t="s">
        <v>139</v>
      </c>
      <c r="Y21" s="45" t="s">
        <v>140</v>
      </c>
      <c r="Z21" s="45" t="s">
        <v>141</v>
      </c>
      <c r="AA21" s="45" t="s">
        <v>142</v>
      </c>
      <c r="AB21" s="45" t="s">
        <v>144</v>
      </c>
      <c r="AC21" s="60" t="s">
        <v>143</v>
      </c>
      <c r="AD21" s="48" t="s">
        <v>147</v>
      </c>
      <c r="AE21" s="48" t="s">
        <v>148</v>
      </c>
      <c r="AF21" s="48" t="s">
        <v>149</v>
      </c>
      <c r="AG21" s="48" t="s">
        <v>150</v>
      </c>
      <c r="AH21" s="48" t="s">
        <v>29</v>
      </c>
      <c r="AI21" s="48" t="s">
        <v>151</v>
      </c>
      <c r="AJ21" s="49" t="s">
        <v>152</v>
      </c>
      <c r="AK21" s="66" t="s">
        <v>157</v>
      </c>
      <c r="AL21" s="45" t="s">
        <v>137</v>
      </c>
      <c r="AM21" s="45" t="s">
        <v>181</v>
      </c>
      <c r="AN21" s="45" t="s">
        <v>138</v>
      </c>
      <c r="AO21" s="45" t="s">
        <v>139</v>
      </c>
      <c r="AP21" s="45" t="s">
        <v>140</v>
      </c>
      <c r="AQ21" s="45" t="s">
        <v>141</v>
      </c>
      <c r="AR21" s="45" t="s">
        <v>142</v>
      </c>
      <c r="AS21" s="45" t="s">
        <v>144</v>
      </c>
      <c r="AT21" s="60" t="s">
        <v>143</v>
      </c>
      <c r="AU21" s="63" t="s">
        <v>147</v>
      </c>
      <c r="AV21" s="48" t="s">
        <v>148</v>
      </c>
      <c r="AW21" s="48" t="s">
        <v>149</v>
      </c>
      <c r="AX21" s="48" t="s">
        <v>150</v>
      </c>
      <c r="AY21" s="49" t="s">
        <v>29</v>
      </c>
      <c r="AZ21" s="66" t="s">
        <v>197</v>
      </c>
    </row>
    <row r="22" spans="1:52">
      <c r="A22">
        <v>1</v>
      </c>
      <c r="B22" s="36" t="s">
        <v>92</v>
      </c>
      <c r="C22" s="37" t="s">
        <v>490</v>
      </c>
      <c r="D22" s="37">
        <f>IF($C22="","",VLOOKUP($C22,CTBat!$G$10:$BR$203,D$1,FALSE))</f>
        <v>27</v>
      </c>
      <c r="E22" s="37" t="str">
        <f>IF($C22="","",VLOOKUP($C22,CTBat!$G$10:$BR$203,E$1,FALSE))</f>
        <v>R</v>
      </c>
      <c r="F22" s="53">
        <f>IF($C22="","",IF(J22&gt;5,1,0))</f>
        <v>1</v>
      </c>
      <c r="G22" s="301" t="str">
        <f t="shared" ref="G22:H24" si="50">IF($C22="","","-")</f>
        <v>-</v>
      </c>
      <c r="H22" s="301" t="str">
        <f t="shared" si="50"/>
        <v>-</v>
      </c>
      <c r="I22" s="301" t="str">
        <f>IF($C22="","","-")</f>
        <v>-</v>
      </c>
      <c r="J22" s="58">
        <f>IF($C22="","",VLOOKUP($C22,CTBat!$G$10:$BR$203,J$1,FALSE))</f>
        <v>7</v>
      </c>
      <c r="K22" s="37">
        <f>IF($C22="","",VLOOKUP($C22,CTBat!$G$10:$BR$203,K$1,FALSE))</f>
        <v>4</v>
      </c>
      <c r="L22" s="38">
        <f>IF($C22="","",VLOOKUP($C22,CTBat!$G$10:$BR$203,L$1,FALSE))</f>
        <v>5</v>
      </c>
      <c r="M22" s="37">
        <f>IF($C22="","",VLOOKUP($C22,CTBat!$G$10:$BR$203,M$1,FALSE))</f>
        <v>8</v>
      </c>
      <c r="N22" s="37" t="str">
        <f>IF($C22="","",VLOOKUP($C22,CTBat!$G$10:$BR$203,N$1,FALSE))</f>
        <v>-</v>
      </c>
      <c r="O22" s="37" t="str">
        <f>IF($C22="","",VLOOKUP($C22,CTBat!$G$10:$BR$203,O$1,FALSE))</f>
        <v>-</v>
      </c>
      <c r="P22" s="37" t="str">
        <f>IF($C22="","",VLOOKUP($C22,CTBat!$G$10:$BR$203,P$1,FALSE))</f>
        <v>-</v>
      </c>
      <c r="Q22" s="37" t="str">
        <f>IF($C22="","",VLOOKUP($C22,CTBat!$G$10:$BR$203,Q$1,FALSE))</f>
        <v>-</v>
      </c>
      <c r="R22" s="37">
        <f>IF($C22="","",VLOOKUP($C22,CTBat!$G$10:$BR$203,R$1,FALSE))</f>
        <v>1</v>
      </c>
      <c r="S22" s="37" t="str">
        <f>IF($C22="","",VLOOKUP($C22,CTBat!$G$10:$BR$203,S$1,FALSE))</f>
        <v>-</v>
      </c>
      <c r="T22" s="38" t="str">
        <f>IF($C22="","",VLOOKUP($C22,CTBat!$G$10:$BR$203,T$1,FALSE))</f>
        <v>-</v>
      </c>
      <c r="U22" s="301">
        <f t="shared" ref="U22:U24" si="51">IF($C22="","",IF(OR(AD22+AG22&gt;14,AND(OR(AD22+AG22&gt;12,AND(AD22&gt;6,AG22&gt;6)),AI22&gt;6,OR(AJ22&gt;=AI22,AJ22&gt;6))),1,0))</f>
        <v>0</v>
      </c>
      <c r="V22" s="301">
        <f t="shared" ref="V22:V24" si="52">IF($C22="","",IF(OR(AND(AD22&gt;6,AH22&gt;6),AD22+AG22&gt;12),1,0))</f>
        <v>1</v>
      </c>
      <c r="W22" s="301">
        <f t="shared" ref="W22:W24" si="53">IF($C22="","",IF(AND(AD22&gt;6,AF22&gt;6,AG22&gt;6),1,0))</f>
        <v>0</v>
      </c>
      <c r="X22" s="301">
        <f t="shared" ref="X22:X24" si="54">IF($C22="","",IF(AND(AF22&gt;7,OR(AD22&gt;6,AG22&gt;6)),1,0))</f>
        <v>0</v>
      </c>
      <c r="Y22" s="301">
        <f t="shared" ref="Y22:Y24" si="55">IF($C22="","",IF(AND(AF22&gt;6,OR(AD22&gt;6,AG22&gt;6)),1,0))</f>
        <v>0</v>
      </c>
      <c r="Z22" s="301">
        <f t="shared" ref="Z22:Z24" si="56">IF($C22="","",IF(AND(OR(AD22&gt;6,AF22&gt;6),OR(AD22&gt;6,AG22&gt;6)),1,0))</f>
        <v>0</v>
      </c>
      <c r="AA22" s="301">
        <f t="shared" ref="AA22:AA24" si="57">IF($C22="","",IF(AND(AD22&gt;4,OR(AD22&gt;6,AF22&gt;6,AG22&gt;6)),1,0))</f>
        <v>1</v>
      </c>
      <c r="AB22" s="301">
        <f t="shared" ref="AB22:AB24" si="58">IF($C22="","",IF(AND(AD22&gt;4,OR(AD22&gt;6,AE22&gt;6,AF22&gt;6,AG22&gt;6)),1,0))</f>
        <v>1</v>
      </c>
      <c r="AC22" s="302">
        <f t="shared" ref="AC22:AC24" si="59">IF($C22="","",IF(AND(AD22&gt;4,MAX(AD22:AH22)&gt;6),1,0))</f>
        <v>1</v>
      </c>
      <c r="AD22" s="37">
        <f>IF($C22="","",VLOOKUP($C22,CTBat!$G$10:$BR$203,AD$1,FALSE))</f>
        <v>6</v>
      </c>
      <c r="AE22" s="37">
        <f>IF($C22="","",VLOOKUP($C22,CTBat!$G$10:$BR$203,AE$1,FALSE))</f>
        <v>6</v>
      </c>
      <c r="AF22" s="37">
        <f>IF($C22="","",VLOOKUP($C22,CTBat!$G$10:$BR$203,AF$1,FALSE))</f>
        <v>6</v>
      </c>
      <c r="AG22" s="37">
        <f>IF($C22="","",VLOOKUP($C22,CTBat!$G$10:$BR$203,AG$1,FALSE))</f>
        <v>7</v>
      </c>
      <c r="AH22" s="37">
        <f>IF($C22="","",VLOOKUP($C22,CTBat!$G$10:$BR$203,AH$1,FALSE))</f>
        <v>6</v>
      </c>
      <c r="AI22" s="37">
        <f>IF($C22="","",VLOOKUP($C22,CTBat!$G$10:$BR$203,AI$1,FALSE))</f>
        <v>1</v>
      </c>
      <c r="AJ22" s="38">
        <f>IF($C22="","",VLOOKUP($C22,CTBat!$G$10:$BR$203,AJ$1,FALSE))</f>
        <v>1</v>
      </c>
      <c r="AK22" s="67">
        <f>IF($C22="","",(5*AD22+4*AF22+3*AG22+2*AE22+1*AH22+0.5*(AVERAGE(AD22:AE22))+0.5*AVERAGE(AD22,AH22)+1*(AVERAGE(AD22,AF22))+1*AVERAGE(AD22,AG22))/(5+4+3+2+1+0.5+0.5+1+1))</f>
        <v>6.1944444444444446</v>
      </c>
      <c r="AL22" s="301">
        <f t="shared" ref="AL22:AL24" si="60">IF($C22="","",IF(AND(OR(AU22+AX22&gt;12,AND(AU22&gt;6,AX22&gt;6)),AI22&gt;6,OR(AJ22&gt;=AI22,AJ22&gt;6)),1,0))</f>
        <v>0</v>
      </c>
      <c r="AM22" s="301">
        <f t="shared" ref="AM22:AM24" si="61">IF($C22="","",IF(OR(AND(AU22&gt;6,AY22&gt;6),AU22+AX22&gt;12),1,0))</f>
        <v>1</v>
      </c>
      <c r="AN22" s="301">
        <f t="shared" ref="AN22:AN24" si="62">IF($C22="","",IF(AND(AU22&gt;6,AW22&gt;6,AX22&gt;6),1,0))</f>
        <v>0</v>
      </c>
      <c r="AO22" s="301">
        <f t="shared" ref="AO22:AO24" si="63">IF($C22="","",IF(AND(AW22&gt;7,OR(AU22&gt;6,AX22&gt;6)),1,0))</f>
        <v>0</v>
      </c>
      <c r="AP22" s="301">
        <f t="shared" ref="AP22:AP24" si="64">IF($C22="","",IF(AND(AW22&gt;6,OR(AU22&gt;6,AX22&gt;6)),1,0))</f>
        <v>0</v>
      </c>
      <c r="AQ22" s="301">
        <f t="shared" ref="AQ22:AQ24" si="65">IF($C22="","",IF(AND(OR(AU22&gt;6,AW22&gt;6),OR(AU22&gt;6,AX22&gt;6)),1,0))</f>
        <v>1</v>
      </c>
      <c r="AR22" s="301">
        <f t="shared" ref="AR22:AR24" si="66">IF($C22="","",IF(AND(AU22&gt;4,OR(AU22&gt;6,AW22&gt;6,AX22&gt;6)),1,0))</f>
        <v>1</v>
      </c>
      <c r="AS22" s="301">
        <f t="shared" ref="AS22:AS24" si="67">IF($C22="","",IF(AND(AU22&gt;4,OR(AU22&gt;6,AV22&gt;6,AW22&gt;6,AX22&gt;6)),1,0))</f>
        <v>1</v>
      </c>
      <c r="AT22" s="302">
        <f t="shared" ref="AT22:AT24" si="68">IF($C22="","",IF(AND(AU22&gt;4,MAX(AU22:AY22)&gt;6),1,0))</f>
        <v>1</v>
      </c>
      <c r="AU22" s="58">
        <f>IF($C22="","",VLOOKUP($C22,CTBat!$G$10:$BR$203,AU$1,FALSE))</f>
        <v>7</v>
      </c>
      <c r="AV22" s="37">
        <f>IF($C22="","",VLOOKUP($C22,CTBat!$G$10:$BR$203,AV$1,FALSE))</f>
        <v>6</v>
      </c>
      <c r="AW22" s="37">
        <f>IF($C22="","",VLOOKUP($C22,CTBat!$G$10:$BR$203,AW$1,FALSE))</f>
        <v>6</v>
      </c>
      <c r="AX22" s="37">
        <f>IF($C22="","",VLOOKUP($C22,CTBat!$G$10:$BR$203,AX$1,FALSE))</f>
        <v>7</v>
      </c>
      <c r="AY22" s="38">
        <f>IF($C22="","",VLOOKUP($C22,CTBat!$G$10:$BR$203,AY$1,FALSE))</f>
        <v>6</v>
      </c>
      <c r="AZ22" s="67">
        <f t="shared" ref="AZ22:AZ24" si="69">IF($C22="","",(5*AU22+4*AW22+3*AX22+2*AV22+1*AY22+0.5*(AVERAGE(AU22:AV22))+0.5*AVERAGE(AU22,AY22)+1*(AVERAGE(AU22,AW22))+1*AVERAGE(AU22,AX22))/(5+4+3+2+1+0.5+0.5+1+1))</f>
        <v>6.5555555555555554</v>
      </c>
    </row>
    <row r="23" spans="1:52">
      <c r="A23">
        <v>2</v>
      </c>
      <c r="B23" s="36" t="s">
        <v>101</v>
      </c>
      <c r="C23" s="37"/>
      <c r="D23" s="37" t="str">
        <f>IF($C23="","",VLOOKUP($C23,CTBat!$G$10:$BR$203,D$1,FALSE))</f>
        <v/>
      </c>
      <c r="E23" s="37" t="str">
        <f>IF($C23="","",VLOOKUP($C23,CTBat!$G$10:$BR$203,E$1,FALSE))</f>
        <v/>
      </c>
      <c r="F23" s="53" t="str">
        <f>IF($C23="","",IF(J23&gt;5,1,0))</f>
        <v/>
      </c>
      <c r="G23" s="301" t="str">
        <f t="shared" si="50"/>
        <v/>
      </c>
      <c r="H23" s="301" t="str">
        <f t="shared" si="50"/>
        <v/>
      </c>
      <c r="I23" s="301" t="str">
        <f>IF($C23="","","-")</f>
        <v/>
      </c>
      <c r="J23" s="58" t="str">
        <f>IF($C23="","",VLOOKUP($C23,CTBat!$G$10:$BR$203,J$1,FALSE))</f>
        <v/>
      </c>
      <c r="K23" s="37" t="str">
        <f>IF($C23="","",VLOOKUP($C23,CTBat!$G$10:$BR$203,K$1,FALSE))</f>
        <v/>
      </c>
      <c r="L23" s="38" t="str">
        <f>IF($C23="","",VLOOKUP($C23,CTBat!$G$10:$BR$203,L$1,FALSE))</f>
        <v/>
      </c>
      <c r="M23" s="37" t="str">
        <f>IF($C23="","",VLOOKUP($C23,CTBat!$G$10:$BR$203,M$1,FALSE))</f>
        <v/>
      </c>
      <c r="N23" s="37" t="str">
        <f>IF($C23="","",VLOOKUP($C23,CTBat!$G$10:$BR$203,N$1,FALSE))</f>
        <v/>
      </c>
      <c r="O23" s="37" t="str">
        <f>IF($C23="","",VLOOKUP($C23,CTBat!$G$10:$BR$203,O$1,FALSE))</f>
        <v/>
      </c>
      <c r="P23" s="37" t="str">
        <f>IF($C23="","",VLOOKUP($C23,CTBat!$G$10:$BR$203,P$1,FALSE))</f>
        <v/>
      </c>
      <c r="Q23" s="37" t="str">
        <f>IF($C23="","",VLOOKUP($C23,CTBat!$G$10:$BR$203,Q$1,FALSE))</f>
        <v/>
      </c>
      <c r="R23" s="37" t="str">
        <f>IF($C23="","",VLOOKUP($C23,CTBat!$G$10:$BR$203,R$1,FALSE))</f>
        <v/>
      </c>
      <c r="S23" s="37" t="str">
        <f>IF($C23="","",VLOOKUP($C23,CTBat!$G$10:$BR$203,S$1,FALSE))</f>
        <v/>
      </c>
      <c r="T23" s="38" t="str">
        <f>IF($C23="","",VLOOKUP($C23,CTBat!$G$10:$BR$203,T$1,FALSE))</f>
        <v/>
      </c>
      <c r="U23" s="301" t="str">
        <f t="shared" si="51"/>
        <v/>
      </c>
      <c r="V23" s="301" t="str">
        <f t="shared" si="52"/>
        <v/>
      </c>
      <c r="W23" s="301" t="str">
        <f t="shared" si="53"/>
        <v/>
      </c>
      <c r="X23" s="301" t="str">
        <f t="shared" si="54"/>
        <v/>
      </c>
      <c r="Y23" s="301" t="str">
        <f t="shared" si="55"/>
        <v/>
      </c>
      <c r="Z23" s="301" t="str">
        <f t="shared" si="56"/>
        <v/>
      </c>
      <c r="AA23" s="301" t="str">
        <f t="shared" si="57"/>
        <v/>
      </c>
      <c r="AB23" s="301" t="str">
        <f t="shared" si="58"/>
        <v/>
      </c>
      <c r="AC23" s="302" t="str">
        <f t="shared" si="59"/>
        <v/>
      </c>
      <c r="AD23" s="37" t="str">
        <f>IF($C23="","",VLOOKUP($C23,CTBat!$G$10:$BR$203,AD$1,FALSE))</f>
        <v/>
      </c>
      <c r="AE23" s="37" t="str">
        <f>IF($C23="","",VLOOKUP($C23,CTBat!$G$10:$BR$203,AE$1,FALSE))</f>
        <v/>
      </c>
      <c r="AF23" s="37" t="str">
        <f>IF($C23="","",VLOOKUP($C23,CTBat!$G$10:$BR$203,AF$1,FALSE))</f>
        <v/>
      </c>
      <c r="AG23" s="37" t="str">
        <f>IF($C23="","",VLOOKUP($C23,CTBat!$G$10:$BR$203,AG$1,FALSE))</f>
        <v/>
      </c>
      <c r="AH23" s="37" t="str">
        <f>IF($C23="","",VLOOKUP($C23,CTBat!$G$10:$BR$203,AH$1,FALSE))</f>
        <v/>
      </c>
      <c r="AI23" s="37" t="str">
        <f>IF($C23="","",VLOOKUP($C23,CTBat!$G$10:$BR$203,AI$1,FALSE))</f>
        <v/>
      </c>
      <c r="AJ23" s="38" t="str">
        <f>IF($C23="","",VLOOKUP($C23,CTBat!$G$10:$BR$203,AJ$1,FALSE))</f>
        <v/>
      </c>
      <c r="AK23" s="67" t="str">
        <f t="shared" ref="AK23:AK24" si="70">IF($C23="","",(5*AD23+4*AF23+3*AG23+2*AE23+1*AH23+0.5*(AVERAGE(AD23:AE23))+0.5*AVERAGE(AD23,AH23)+1*(AVERAGE(AD23,AF23))+1*AVERAGE(AD23,AG23))/(5+4+3+2+1+0.5+0.5+1+1))</f>
        <v/>
      </c>
      <c r="AL23" s="301" t="str">
        <f t="shared" si="60"/>
        <v/>
      </c>
      <c r="AM23" s="301" t="str">
        <f t="shared" si="61"/>
        <v/>
      </c>
      <c r="AN23" s="301" t="str">
        <f t="shared" si="62"/>
        <v/>
      </c>
      <c r="AO23" s="301" t="str">
        <f t="shared" si="63"/>
        <v/>
      </c>
      <c r="AP23" s="301" t="str">
        <f t="shared" si="64"/>
        <v/>
      </c>
      <c r="AQ23" s="301" t="str">
        <f t="shared" si="65"/>
        <v/>
      </c>
      <c r="AR23" s="301" t="str">
        <f t="shared" si="66"/>
        <v/>
      </c>
      <c r="AS23" s="301" t="str">
        <f t="shared" si="67"/>
        <v/>
      </c>
      <c r="AT23" s="302" t="str">
        <f t="shared" si="68"/>
        <v/>
      </c>
      <c r="AU23" s="58" t="str">
        <f>IF($C23="","",VLOOKUP($C23,CTBat!$G$10:$BR$203,AU$1,FALSE))</f>
        <v/>
      </c>
      <c r="AV23" s="37" t="str">
        <f>IF($C23="","",VLOOKUP($C23,CTBat!$G$10:$BR$203,AV$1,FALSE))</f>
        <v/>
      </c>
      <c r="AW23" s="37" t="str">
        <f>IF($C23="","",VLOOKUP($C23,CTBat!$G$10:$BR$203,AW$1,FALSE))</f>
        <v/>
      </c>
      <c r="AX23" s="37" t="str">
        <f>IF($C23="","",VLOOKUP($C23,CTBat!$G$10:$BR$203,AX$1,FALSE))</f>
        <v/>
      </c>
      <c r="AY23" s="38" t="str">
        <f>IF($C23="","",VLOOKUP($C23,CTBat!$G$10:$BR$203,AY$1,FALSE))</f>
        <v/>
      </c>
      <c r="AZ23" s="67" t="str">
        <f t="shared" si="69"/>
        <v/>
      </c>
    </row>
    <row r="24" spans="1:52">
      <c r="A24">
        <v>3</v>
      </c>
      <c r="B24" s="39" t="s">
        <v>101</v>
      </c>
      <c r="C24" s="40"/>
      <c r="D24" s="40" t="str">
        <f>IF($C24="","",VLOOKUP($C24,CTBat!$G$10:$BR$203,D$1,FALSE))</f>
        <v/>
      </c>
      <c r="E24" s="40" t="str">
        <f>IF($C24="","",VLOOKUP($C24,CTBat!$G$10:$BR$203,E$1,FALSE))</f>
        <v/>
      </c>
      <c r="F24" s="54" t="str">
        <f>IF($C24="","",IF(J24&gt;5,1,0))</f>
        <v/>
      </c>
      <c r="G24" s="299" t="str">
        <f t="shared" si="50"/>
        <v/>
      </c>
      <c r="H24" s="299" t="str">
        <f t="shared" si="50"/>
        <v/>
      </c>
      <c r="I24" s="299" t="str">
        <f>IF($C24="","","-")</f>
        <v/>
      </c>
      <c r="J24" s="59" t="str">
        <f>IF($C24="","",VLOOKUP($C24,CTBat!$G$10:$BR$203,J$1,FALSE))</f>
        <v/>
      </c>
      <c r="K24" s="40" t="str">
        <f>IF($C24="","",VLOOKUP($C24,CTBat!$G$10:$BR$203,K$1,FALSE))</f>
        <v/>
      </c>
      <c r="L24" s="42" t="str">
        <f>IF($C24="","",VLOOKUP($C24,CTBat!$G$10:$BR$203,L$1,FALSE))</f>
        <v/>
      </c>
      <c r="M24" s="40" t="str">
        <f>IF($C24="","",VLOOKUP($C24,CTBat!$G$10:$BR$203,M$1,FALSE))</f>
        <v/>
      </c>
      <c r="N24" s="40" t="str">
        <f>IF($C24="","",VLOOKUP($C24,CTBat!$G$10:$BR$203,N$1,FALSE))</f>
        <v/>
      </c>
      <c r="O24" s="40" t="str">
        <f>IF($C24="","",VLOOKUP($C24,CTBat!$G$10:$BR$203,O$1,FALSE))</f>
        <v/>
      </c>
      <c r="P24" s="40" t="str">
        <f>IF($C24="","",VLOOKUP($C24,CTBat!$G$10:$BR$203,P$1,FALSE))</f>
        <v/>
      </c>
      <c r="Q24" s="40" t="str">
        <f>IF($C24="","",VLOOKUP($C24,CTBat!$G$10:$BR$203,Q$1,FALSE))</f>
        <v/>
      </c>
      <c r="R24" s="40" t="str">
        <f>IF($C24="","",VLOOKUP($C24,CTBat!$G$10:$BR$203,R$1,FALSE))</f>
        <v/>
      </c>
      <c r="S24" s="40" t="str">
        <f>IF($C24="","",VLOOKUP($C24,CTBat!$G$10:$BR$203,S$1,FALSE))</f>
        <v/>
      </c>
      <c r="T24" s="42" t="str">
        <f>IF($C24="","",VLOOKUP($C24,CTBat!$G$10:$BR$203,T$1,FALSE))</f>
        <v/>
      </c>
      <c r="U24" s="299" t="str">
        <f t="shared" si="51"/>
        <v/>
      </c>
      <c r="V24" s="299" t="str">
        <f t="shared" si="52"/>
        <v/>
      </c>
      <c r="W24" s="299" t="str">
        <f t="shared" si="53"/>
        <v/>
      </c>
      <c r="X24" s="299" t="str">
        <f t="shared" si="54"/>
        <v/>
      </c>
      <c r="Y24" s="299" t="str">
        <f t="shared" si="55"/>
        <v/>
      </c>
      <c r="Z24" s="299" t="str">
        <f t="shared" si="56"/>
        <v/>
      </c>
      <c r="AA24" s="299" t="str">
        <f t="shared" si="57"/>
        <v/>
      </c>
      <c r="AB24" s="299" t="str">
        <f t="shared" si="58"/>
        <v/>
      </c>
      <c r="AC24" s="300" t="str">
        <f t="shared" si="59"/>
        <v/>
      </c>
      <c r="AD24" s="40" t="str">
        <f>IF($C24="","",VLOOKUP($C24,CTBat!$G$10:$BR$203,AD$1,FALSE))</f>
        <v/>
      </c>
      <c r="AE24" s="40" t="str">
        <f>IF($C24="","",VLOOKUP($C24,CTBat!$G$10:$BR$203,AE$1,FALSE))</f>
        <v/>
      </c>
      <c r="AF24" s="40" t="str">
        <f>IF($C24="","",VLOOKUP($C24,CTBat!$G$10:$BR$203,AF$1,FALSE))</f>
        <v/>
      </c>
      <c r="AG24" s="40" t="str">
        <f>IF($C24="","",VLOOKUP($C24,CTBat!$G$10:$BR$203,AG$1,FALSE))</f>
        <v/>
      </c>
      <c r="AH24" s="40" t="str">
        <f>IF($C24="","",VLOOKUP($C24,CTBat!$G$10:$BR$203,AH$1,FALSE))</f>
        <v/>
      </c>
      <c r="AI24" s="40" t="str">
        <f>IF($C24="","",VLOOKUP($C24,CTBat!$G$10:$BR$203,AI$1,FALSE))</f>
        <v/>
      </c>
      <c r="AJ24" s="42" t="str">
        <f>IF($C24="","",VLOOKUP($C24,CTBat!$G$10:$BR$203,AJ$1,FALSE))</f>
        <v/>
      </c>
      <c r="AK24" s="68" t="str">
        <f t="shared" si="70"/>
        <v/>
      </c>
      <c r="AL24" s="299" t="str">
        <f t="shared" si="60"/>
        <v/>
      </c>
      <c r="AM24" s="299" t="str">
        <f t="shared" si="61"/>
        <v/>
      </c>
      <c r="AN24" s="299" t="str">
        <f t="shared" si="62"/>
        <v/>
      </c>
      <c r="AO24" s="299" t="str">
        <f t="shared" si="63"/>
        <v/>
      </c>
      <c r="AP24" s="299" t="str">
        <f t="shared" si="64"/>
        <v/>
      </c>
      <c r="AQ24" s="299" t="str">
        <f t="shared" si="65"/>
        <v/>
      </c>
      <c r="AR24" s="299" t="str">
        <f t="shared" si="66"/>
        <v/>
      </c>
      <c r="AS24" s="299" t="str">
        <f t="shared" si="67"/>
        <v/>
      </c>
      <c r="AT24" s="300" t="str">
        <f t="shared" si="68"/>
        <v/>
      </c>
      <c r="AU24" s="59" t="str">
        <f>IF($C24="","",VLOOKUP($C24,CTBat!$G$10:$BR$203,AU$1,FALSE))</f>
        <v/>
      </c>
      <c r="AV24" s="40" t="str">
        <f>IF($C24="","",VLOOKUP($C24,CTBat!$G$10:$BR$203,AV$1,FALSE))</f>
        <v/>
      </c>
      <c r="AW24" s="40" t="str">
        <f>IF($C24="","",VLOOKUP($C24,CTBat!$G$10:$BR$203,AW$1,FALSE))</f>
        <v/>
      </c>
      <c r="AX24" s="40" t="str">
        <f>IF($C24="","",VLOOKUP($C24,CTBat!$G$10:$BR$203,AX$1,FALSE))</f>
        <v/>
      </c>
      <c r="AY24" s="42" t="str">
        <f>IF($C24="","",VLOOKUP($C24,CTBat!$G$10:$BR$203,AY$1,FALSE))</f>
        <v/>
      </c>
      <c r="AZ24" s="68" t="str">
        <f t="shared" si="69"/>
        <v/>
      </c>
    </row>
    <row r="26" spans="1:52" s="1" customFormat="1">
      <c r="B26" s="296" t="s">
        <v>487</v>
      </c>
      <c r="C26" s="44" t="s">
        <v>118</v>
      </c>
      <c r="D26" s="44" t="s">
        <v>119</v>
      </c>
      <c r="E26" s="50" t="s">
        <v>101</v>
      </c>
      <c r="F26" s="297" t="s">
        <v>156</v>
      </c>
      <c r="G26" s="297" t="s">
        <v>160</v>
      </c>
      <c r="H26" s="298" t="s">
        <v>158</v>
      </c>
      <c r="I26" s="88" t="s">
        <v>182</v>
      </c>
      <c r="J26" s="296" t="s">
        <v>92</v>
      </c>
      <c r="K26" s="297" t="s">
        <v>145</v>
      </c>
      <c r="L26" s="297" t="s">
        <v>146</v>
      </c>
      <c r="M26" s="297" t="s">
        <v>203</v>
      </c>
      <c r="N26" s="297" t="s">
        <v>93</v>
      </c>
      <c r="O26" s="296" t="s">
        <v>204</v>
      </c>
      <c r="P26" s="298" t="s">
        <v>205</v>
      </c>
      <c r="Q26" s="296" t="s">
        <v>213</v>
      </c>
      <c r="R26" s="87" t="s">
        <v>231</v>
      </c>
      <c r="T26" s="296" t="s">
        <v>119</v>
      </c>
      <c r="U26" s="296" t="s">
        <v>214</v>
      </c>
      <c r="V26" s="298" t="s">
        <v>235</v>
      </c>
      <c r="W26" s="297" t="s">
        <v>213</v>
      </c>
      <c r="X26" s="298" t="s">
        <v>231</v>
      </c>
      <c r="Z26" s="1" t="s">
        <v>452</v>
      </c>
      <c r="AG26" s="336" t="s">
        <v>484</v>
      </c>
      <c r="AH26" s="337"/>
      <c r="AI26" s="337"/>
      <c r="AJ26" s="337"/>
      <c r="AK26" s="337"/>
      <c r="AL26" s="337"/>
      <c r="AM26" s="337"/>
      <c r="AN26" s="337"/>
      <c r="AO26" s="337"/>
      <c r="AP26" s="337"/>
      <c r="AQ26" s="337"/>
      <c r="AR26" s="337"/>
      <c r="AS26" s="337"/>
      <c r="AT26" s="338"/>
    </row>
    <row r="27" spans="1:52">
      <c r="B27" s="36">
        <v>1</v>
      </c>
      <c r="C27" s="57" t="s">
        <v>463</v>
      </c>
      <c r="D27" s="33" t="s">
        <v>99</v>
      </c>
      <c r="E27" s="38" t="e">
        <f t="shared" ref="E27" si="71">IF($C27="","",VLOOKUP($C27,$C$3:$AK$24,$E$1-2,FALSE))</f>
        <v>#N/A</v>
      </c>
      <c r="F27" s="301" t="e">
        <f t="shared" ref="F27:F35" si="72">IF($C27="","",VLOOKUP($C27,$C$3:$AK$24,18+$B27,FALSE))</f>
        <v>#N/A</v>
      </c>
      <c r="G27" s="301" t="e">
        <f>IF($C27="","",IF(VLOOKUP($C27,$C$3:$AK$24,18+3,FALSE)=1,3,IF(VLOOKUP($C27,$C$3:$AK$24,18+4,FALSE)=1,4,IF(VLOOKUP($C27,$C$3:$AK$24,18+1,FALSE)=1,1,IF(VLOOKUP($C27,$C$3:$AK$24,18+5,FALSE)=1,5,IF(VLOOKUP($C27,$C$3:$AK$24,18+2,FALSE)=1,2,IF(VLOOKUP($C27,$C$3:$AK$24,18+6,FALSE)=1,6,IF(VLOOKUP($C27,$C$3:$AK$24,18+7,FALSE)=1,7,IF(VLOOKUP($C27,$C$3:$AK$24,18+8,FALSE)=1,8,9)))))))))</f>
        <v>#N/A</v>
      </c>
      <c r="H27" s="8" t="e">
        <f>IF($C27="","",VLOOKUP($C27,$C$3:$AK$24,35,FALSE))</f>
        <v>#N/A</v>
      </c>
      <c r="I27" s="89">
        <v>3</v>
      </c>
      <c r="J27" s="53" t="e">
        <f>IF($C27="","",VLOOKUP($C27,$C$3:$AZ$24,17+AD$1,FALSE))</f>
        <v>#N/A</v>
      </c>
      <c r="K27" s="301" t="e">
        <f t="shared" ref="K27:N35" si="73">IF($C27="","",VLOOKUP($C27,$C$3:$AZ$24,17+AE$1,FALSE))</f>
        <v>#N/A</v>
      </c>
      <c r="L27" s="301" t="e">
        <f t="shared" si="73"/>
        <v>#N/A</v>
      </c>
      <c r="M27" s="301" t="e">
        <f t="shared" si="73"/>
        <v>#N/A</v>
      </c>
      <c r="N27" s="301" t="e">
        <f t="shared" si="73"/>
        <v>#N/A</v>
      </c>
      <c r="O27" s="53" t="e">
        <f t="shared" ref="O27:P35" si="74">IF($C27="","",VLOOKUP($C27,$C$3:$AZ$24,1+AI$1,FALSE))</f>
        <v>#N/A</v>
      </c>
      <c r="P27" s="302" t="e">
        <f t="shared" si="74"/>
        <v>#N/A</v>
      </c>
      <c r="Q27" s="116" t="e">
        <f t="shared" ref="Q27:Q35" si="75">IF($C27="","",IF($D27="DH","-",VLOOKUP($C27,$C$2:$AZ$24,9+VLOOKUP($D27,$T$26:$U$34,2,FALSE),FALSE)))</f>
        <v>#N/A</v>
      </c>
      <c r="R27" s="101" t="e">
        <f t="shared" ref="R27:R35" si="76">IF($C27="","",IF($D27="DH","-",VLOOKUP($C27,$C$2:$AZ$24,VLOOKUP($D27,$T$26:$V$34,3,FALSE),FALSE)))</f>
        <v>#N/A</v>
      </c>
      <c r="T27" s="53" t="s">
        <v>92</v>
      </c>
      <c r="U27" s="53">
        <v>2</v>
      </c>
      <c r="V27" s="302">
        <v>8</v>
      </c>
      <c r="W27" s="301" t="e">
        <f>VLOOKUP($T27,$D$26:$R$35,14,FALSE)</f>
        <v>#N/A</v>
      </c>
      <c r="X27" s="302" t="e">
        <f>VLOOKUP($T27,$D$26:$R$35,15,FALSE)</f>
        <v>#N/A</v>
      </c>
      <c r="Z27" t="s">
        <v>453</v>
      </c>
      <c r="AA27">
        <v>1</v>
      </c>
      <c r="AG27" s="201">
        <v>1</v>
      </c>
      <c r="AH27" s="331" t="s">
        <v>482</v>
      </c>
      <c r="AI27" s="331"/>
      <c r="AJ27" s="331"/>
      <c r="AK27" s="331"/>
      <c r="AL27" s="331"/>
      <c r="AM27" s="331"/>
      <c r="AN27" s="331"/>
      <c r="AO27" s="331"/>
      <c r="AP27" s="331"/>
      <c r="AQ27" s="331"/>
      <c r="AR27" s="331"/>
      <c r="AS27" s="331"/>
      <c r="AT27" s="332"/>
    </row>
    <row r="28" spans="1:52">
      <c r="B28" s="36">
        <v>2</v>
      </c>
      <c r="C28" s="58" t="s">
        <v>43</v>
      </c>
      <c r="D28" s="37" t="s">
        <v>97</v>
      </c>
      <c r="E28" s="38" t="str">
        <f>IF($C28="","",VLOOKUP($C28,$C$3:$AK$24,$E$1-2,FALSE))</f>
        <v>L</v>
      </c>
      <c r="F28" s="301">
        <f t="shared" si="72"/>
        <v>1</v>
      </c>
      <c r="G28" s="301">
        <f t="shared" ref="G28:G35" si="77">IF($C28="","",IF(VLOOKUP($C28,$C$3:$AK$24,18+3,FALSE)=1,3,IF(VLOOKUP($C28,$C$3:$AK$24,18+4,FALSE)=1,4,IF(VLOOKUP($C28,$C$3:$AK$24,18+1,FALSE)=1,1,IF(VLOOKUP($C28,$C$3:$AK$24,18+5,FALSE)=1,5,IF(VLOOKUP($C28,$C$3:$AK$24,18+2,FALSE)=1,2,IF(VLOOKUP($C28,$C$3:$AK$24,18+6,FALSE)=1,6,IF(VLOOKUP($C28,$C$3:$AK$24,18+7,FALSE)=1,7,IF(VLOOKUP($C28,$C$3:$AK$24,18+8,FALSE)=1,8,9)))))))))</f>
        <v>3</v>
      </c>
      <c r="H28" s="8">
        <f t="shared" ref="H28:H35" si="78">IF($C28="","",VLOOKUP($C28,$C$3:$AK$24,35,FALSE))</f>
        <v>8.0277777777777786</v>
      </c>
      <c r="I28" s="89">
        <v>5</v>
      </c>
      <c r="J28" s="53">
        <f t="shared" ref="J28:J35" si="79">IF($C28="","",VLOOKUP($C28,$C$3:$AZ$24,17+AD$1,FALSE))</f>
        <v>8</v>
      </c>
      <c r="K28" s="301">
        <f t="shared" si="73"/>
        <v>8</v>
      </c>
      <c r="L28" s="301">
        <f t="shared" si="73"/>
        <v>10</v>
      </c>
      <c r="M28" s="301">
        <f t="shared" si="73"/>
        <v>7</v>
      </c>
      <c r="N28" s="301">
        <f t="shared" si="73"/>
        <v>4</v>
      </c>
      <c r="O28" s="53">
        <f t="shared" si="74"/>
        <v>2</v>
      </c>
      <c r="P28" s="302">
        <f t="shared" si="74"/>
        <v>4</v>
      </c>
      <c r="Q28" s="117">
        <f t="shared" si="75"/>
        <v>7</v>
      </c>
      <c r="R28" s="101">
        <f t="shared" si="76"/>
        <v>8</v>
      </c>
      <c r="T28" s="53" t="s">
        <v>94</v>
      </c>
      <c r="U28" s="53">
        <v>3</v>
      </c>
      <c r="V28" s="302">
        <v>9</v>
      </c>
      <c r="W28" s="301" t="e">
        <f t="shared" ref="W28:W34" si="80">VLOOKUP($T28,$D$26:$R$35,14,FALSE)</f>
        <v>#N/A</v>
      </c>
      <c r="X28" s="302" t="e">
        <f t="shared" ref="X28:X34" si="81">VLOOKUP($T28,$D$26:$R$35,15,FALSE)</f>
        <v>#N/A</v>
      </c>
      <c r="Z28" t="s">
        <v>454</v>
      </c>
      <c r="AA28">
        <v>3</v>
      </c>
      <c r="AG28" s="77">
        <v>2</v>
      </c>
      <c r="AH28" s="331" t="s">
        <v>483</v>
      </c>
      <c r="AI28" s="331"/>
      <c r="AJ28" s="331"/>
      <c r="AK28" s="331"/>
      <c r="AL28" s="331"/>
      <c r="AM28" s="331"/>
      <c r="AN28" s="331"/>
      <c r="AO28" s="331"/>
      <c r="AP28" s="331"/>
      <c r="AQ28" s="331"/>
      <c r="AR28" s="331"/>
      <c r="AS28" s="331"/>
      <c r="AT28" s="332"/>
    </row>
    <row r="29" spans="1:52">
      <c r="B29" s="36">
        <v>3</v>
      </c>
      <c r="C29" s="58" t="s">
        <v>381</v>
      </c>
      <c r="D29" s="65" t="s">
        <v>100</v>
      </c>
      <c r="E29" s="38" t="str">
        <f t="shared" ref="E29:E35" si="82">IF($C29="","",VLOOKUP($C29,$C$3:$AK$24,$E$1-2,FALSE))</f>
        <v>L</v>
      </c>
      <c r="F29" s="301">
        <f t="shared" si="72"/>
        <v>0</v>
      </c>
      <c r="G29" s="301">
        <f t="shared" si="77"/>
        <v>1</v>
      </c>
      <c r="H29" s="8">
        <f t="shared" si="78"/>
        <v>7.208333333333333</v>
      </c>
      <c r="I29" s="89">
        <v>1</v>
      </c>
      <c r="J29" s="53">
        <f t="shared" si="79"/>
        <v>10</v>
      </c>
      <c r="K29" s="301">
        <f t="shared" si="73"/>
        <v>7</v>
      </c>
      <c r="L29" s="301">
        <f t="shared" si="73"/>
        <v>4</v>
      </c>
      <c r="M29" s="301">
        <f t="shared" si="73"/>
        <v>6</v>
      </c>
      <c r="N29" s="301">
        <f t="shared" si="73"/>
        <v>8</v>
      </c>
      <c r="O29" s="53">
        <f t="shared" si="74"/>
        <v>7</v>
      </c>
      <c r="P29" s="302">
        <f t="shared" si="74"/>
        <v>9</v>
      </c>
      <c r="Q29" s="117">
        <f t="shared" si="75"/>
        <v>10</v>
      </c>
      <c r="R29" s="101">
        <f t="shared" si="76"/>
        <v>10</v>
      </c>
      <c r="T29" s="53" t="s">
        <v>95</v>
      </c>
      <c r="U29" s="53">
        <v>4</v>
      </c>
      <c r="V29" s="302">
        <v>9</v>
      </c>
      <c r="W29" s="301">
        <f t="shared" si="80"/>
        <v>7</v>
      </c>
      <c r="X29" s="302">
        <f t="shared" si="81"/>
        <v>5</v>
      </c>
      <c r="Z29" t="s">
        <v>457</v>
      </c>
      <c r="AA29">
        <v>5</v>
      </c>
      <c r="AG29" s="77">
        <v>3</v>
      </c>
      <c r="AH29" s="331" t="s">
        <v>347</v>
      </c>
      <c r="AI29" s="331"/>
      <c r="AJ29" s="331"/>
      <c r="AK29" s="331"/>
      <c r="AL29" s="331"/>
      <c r="AM29" s="331"/>
      <c r="AN29" s="331"/>
      <c r="AO29" s="331"/>
      <c r="AP29" s="331"/>
      <c r="AQ29" s="331"/>
      <c r="AR29" s="331"/>
      <c r="AS29" s="331"/>
      <c r="AT29" s="332"/>
    </row>
    <row r="30" spans="1:52">
      <c r="B30" s="36">
        <v>4</v>
      </c>
      <c r="C30" s="58" t="s">
        <v>516</v>
      </c>
      <c r="D30" s="65" t="s">
        <v>18</v>
      </c>
      <c r="E30" s="38" t="e">
        <f t="shared" si="82"/>
        <v>#N/A</v>
      </c>
      <c r="F30" s="301" t="e">
        <f t="shared" si="72"/>
        <v>#N/A</v>
      </c>
      <c r="G30" s="301" t="e">
        <f t="shared" si="77"/>
        <v>#N/A</v>
      </c>
      <c r="H30" s="8" t="e">
        <f t="shared" si="78"/>
        <v>#N/A</v>
      </c>
      <c r="I30" s="89">
        <v>2</v>
      </c>
      <c r="J30" s="53" t="e">
        <f t="shared" si="79"/>
        <v>#N/A</v>
      </c>
      <c r="K30" s="301" t="e">
        <f t="shared" si="73"/>
        <v>#N/A</v>
      </c>
      <c r="L30" s="301" t="e">
        <f t="shared" si="73"/>
        <v>#N/A</v>
      </c>
      <c r="M30" s="301" t="e">
        <f t="shared" si="73"/>
        <v>#N/A</v>
      </c>
      <c r="N30" s="301" t="e">
        <f t="shared" si="73"/>
        <v>#N/A</v>
      </c>
      <c r="O30" s="53" t="e">
        <f t="shared" si="74"/>
        <v>#N/A</v>
      </c>
      <c r="P30" s="302" t="e">
        <f t="shared" si="74"/>
        <v>#N/A</v>
      </c>
      <c r="Q30" s="117" t="str">
        <f t="shared" si="75"/>
        <v>-</v>
      </c>
      <c r="R30" s="101" t="str">
        <f t="shared" si="76"/>
        <v>-</v>
      </c>
      <c r="T30" s="53" t="s">
        <v>96</v>
      </c>
      <c r="U30" s="53">
        <v>5</v>
      </c>
      <c r="V30" s="302">
        <v>9</v>
      </c>
      <c r="W30" s="301">
        <f t="shared" si="80"/>
        <v>6</v>
      </c>
      <c r="X30" s="302">
        <f t="shared" si="81"/>
        <v>9</v>
      </c>
      <c r="Z30" t="s">
        <v>456</v>
      </c>
      <c r="AA30">
        <v>2</v>
      </c>
      <c r="AG30" s="77">
        <v>4</v>
      </c>
      <c r="AH30" s="341"/>
      <c r="AI30" s="341"/>
      <c r="AJ30" s="341"/>
      <c r="AK30" s="341"/>
      <c r="AL30" s="341"/>
      <c r="AM30" s="341"/>
      <c r="AN30" s="341"/>
      <c r="AO30" s="341"/>
      <c r="AP30" s="341"/>
      <c r="AQ30" s="341"/>
      <c r="AR30" s="341"/>
      <c r="AS30" s="341"/>
      <c r="AT30" s="341"/>
    </row>
    <row r="31" spans="1:52">
      <c r="B31" s="36">
        <v>5</v>
      </c>
      <c r="C31" s="58" t="s">
        <v>90</v>
      </c>
      <c r="D31" s="65" t="s">
        <v>92</v>
      </c>
      <c r="E31" s="38" t="e">
        <f t="shared" si="82"/>
        <v>#N/A</v>
      </c>
      <c r="F31" s="301" t="e">
        <f t="shared" si="72"/>
        <v>#N/A</v>
      </c>
      <c r="G31" s="301" t="e">
        <f t="shared" si="77"/>
        <v>#N/A</v>
      </c>
      <c r="H31" s="8" t="e">
        <f t="shared" si="78"/>
        <v>#N/A</v>
      </c>
      <c r="I31" s="89">
        <v>4</v>
      </c>
      <c r="J31" s="53" t="e">
        <f t="shared" si="79"/>
        <v>#N/A</v>
      </c>
      <c r="K31" s="301" t="e">
        <f t="shared" si="73"/>
        <v>#N/A</v>
      </c>
      <c r="L31" s="301" t="e">
        <f t="shared" si="73"/>
        <v>#N/A</v>
      </c>
      <c r="M31" s="301" t="e">
        <f t="shared" si="73"/>
        <v>#N/A</v>
      </c>
      <c r="N31" s="301" t="e">
        <f t="shared" si="73"/>
        <v>#N/A</v>
      </c>
      <c r="O31" s="53" t="e">
        <f t="shared" si="74"/>
        <v>#N/A</v>
      </c>
      <c r="P31" s="302" t="e">
        <f t="shared" si="74"/>
        <v>#N/A</v>
      </c>
      <c r="Q31" s="117" t="e">
        <f t="shared" si="75"/>
        <v>#N/A</v>
      </c>
      <c r="R31" s="101" t="e">
        <f t="shared" si="76"/>
        <v>#N/A</v>
      </c>
      <c r="T31" s="53" t="s">
        <v>97</v>
      </c>
      <c r="U31" s="53">
        <v>6</v>
      </c>
      <c r="V31" s="302">
        <v>9</v>
      </c>
      <c r="W31" s="301">
        <f t="shared" si="80"/>
        <v>7</v>
      </c>
      <c r="X31" s="302">
        <f t="shared" si="81"/>
        <v>8</v>
      </c>
      <c r="Z31" t="s">
        <v>455</v>
      </c>
      <c r="AA31">
        <v>4</v>
      </c>
      <c r="AG31" s="78">
        <v>5</v>
      </c>
      <c r="AH31" s="334"/>
      <c r="AI31" s="334"/>
      <c r="AJ31" s="334"/>
      <c r="AK31" s="334"/>
      <c r="AL31" s="334"/>
      <c r="AM31" s="334"/>
      <c r="AN31" s="334"/>
      <c r="AO31" s="334"/>
      <c r="AP31" s="334"/>
      <c r="AQ31" s="334"/>
      <c r="AR31" s="334"/>
      <c r="AS31" s="334"/>
      <c r="AT31" s="335"/>
    </row>
    <row r="32" spans="1:52">
      <c r="B32" s="36">
        <v>6</v>
      </c>
      <c r="C32" s="58" t="s">
        <v>408</v>
      </c>
      <c r="D32" s="65" t="s">
        <v>98</v>
      </c>
      <c r="E32" s="38" t="str">
        <f t="shared" si="82"/>
        <v>L</v>
      </c>
      <c r="F32" s="301">
        <f t="shared" si="72"/>
        <v>1</v>
      </c>
      <c r="G32" s="301">
        <f t="shared" si="77"/>
        <v>1</v>
      </c>
      <c r="H32" s="8">
        <f t="shared" si="78"/>
        <v>7.3055555555555554</v>
      </c>
      <c r="I32" s="89">
        <v>6</v>
      </c>
      <c r="J32" s="53">
        <f t="shared" si="79"/>
        <v>8</v>
      </c>
      <c r="K32" s="301">
        <f t="shared" si="73"/>
        <v>7</v>
      </c>
      <c r="L32" s="301">
        <f t="shared" si="73"/>
        <v>7</v>
      </c>
      <c r="M32" s="301">
        <f t="shared" si="73"/>
        <v>6</v>
      </c>
      <c r="N32" s="301">
        <f t="shared" si="73"/>
        <v>9</v>
      </c>
      <c r="O32" s="53">
        <f t="shared" si="74"/>
        <v>7</v>
      </c>
      <c r="P32" s="302">
        <f t="shared" si="74"/>
        <v>10</v>
      </c>
      <c r="Q32" s="117">
        <f t="shared" si="75"/>
        <v>10</v>
      </c>
      <c r="R32" s="101">
        <f t="shared" si="76"/>
        <v>4</v>
      </c>
      <c r="T32" s="53" t="s">
        <v>98</v>
      </c>
      <c r="U32" s="53">
        <v>7</v>
      </c>
      <c r="V32" s="302">
        <v>10</v>
      </c>
      <c r="W32" s="301">
        <f t="shared" si="80"/>
        <v>10</v>
      </c>
      <c r="X32" s="302">
        <f t="shared" si="81"/>
        <v>4</v>
      </c>
      <c r="Z32" t="s">
        <v>459</v>
      </c>
      <c r="AA32">
        <v>6</v>
      </c>
    </row>
    <row r="33" spans="2:27">
      <c r="B33" s="36">
        <v>7</v>
      </c>
      <c r="C33" s="58" t="s">
        <v>411</v>
      </c>
      <c r="D33" s="65" t="s">
        <v>94</v>
      </c>
      <c r="E33" s="38" t="e">
        <f t="shared" si="82"/>
        <v>#N/A</v>
      </c>
      <c r="F33" s="301" t="e">
        <f t="shared" si="72"/>
        <v>#N/A</v>
      </c>
      <c r="G33" s="301" t="e">
        <f t="shared" si="77"/>
        <v>#N/A</v>
      </c>
      <c r="H33" s="8" t="e">
        <f t="shared" si="78"/>
        <v>#N/A</v>
      </c>
      <c r="I33" s="89">
        <v>7</v>
      </c>
      <c r="J33" s="53" t="e">
        <f t="shared" si="79"/>
        <v>#N/A</v>
      </c>
      <c r="K33" s="301" t="e">
        <f t="shared" si="73"/>
        <v>#N/A</v>
      </c>
      <c r="L33" s="301" t="e">
        <f t="shared" si="73"/>
        <v>#N/A</v>
      </c>
      <c r="M33" s="301" t="e">
        <f t="shared" si="73"/>
        <v>#N/A</v>
      </c>
      <c r="N33" s="301" t="e">
        <f t="shared" si="73"/>
        <v>#N/A</v>
      </c>
      <c r="O33" s="53" t="e">
        <f t="shared" si="74"/>
        <v>#N/A</v>
      </c>
      <c r="P33" s="302" t="e">
        <f t="shared" si="74"/>
        <v>#N/A</v>
      </c>
      <c r="Q33" s="117" t="e">
        <f t="shared" si="75"/>
        <v>#N/A</v>
      </c>
      <c r="R33" s="101" t="e">
        <f t="shared" si="76"/>
        <v>#N/A</v>
      </c>
      <c r="T33" s="53" t="s">
        <v>99</v>
      </c>
      <c r="U33" s="53">
        <v>8</v>
      </c>
      <c r="V33" s="302">
        <v>10</v>
      </c>
      <c r="W33" s="301" t="e">
        <f t="shared" si="80"/>
        <v>#N/A</v>
      </c>
      <c r="X33" s="302" t="e">
        <f t="shared" si="81"/>
        <v>#N/A</v>
      </c>
      <c r="Z33" t="s">
        <v>460</v>
      </c>
      <c r="AA33">
        <v>7</v>
      </c>
    </row>
    <row r="34" spans="2:27">
      <c r="B34" s="36">
        <v>8</v>
      </c>
      <c r="C34" s="58" t="s">
        <v>51</v>
      </c>
      <c r="D34" s="65" t="s">
        <v>95</v>
      </c>
      <c r="E34" s="38" t="str">
        <f t="shared" si="82"/>
        <v>R</v>
      </c>
      <c r="F34" s="301">
        <f t="shared" si="72"/>
        <v>1</v>
      </c>
      <c r="G34" s="301">
        <f t="shared" si="77"/>
        <v>2</v>
      </c>
      <c r="H34" s="8">
        <f t="shared" si="78"/>
        <v>6.4444444444444446</v>
      </c>
      <c r="I34" s="89">
        <v>8</v>
      </c>
      <c r="J34" s="53">
        <f t="shared" si="79"/>
        <v>7</v>
      </c>
      <c r="K34" s="301">
        <f t="shared" si="73"/>
        <v>6</v>
      </c>
      <c r="L34" s="301">
        <f t="shared" si="73"/>
        <v>5</v>
      </c>
      <c r="M34" s="301">
        <f t="shared" si="73"/>
        <v>7</v>
      </c>
      <c r="N34" s="301">
        <f t="shared" si="73"/>
        <v>8</v>
      </c>
      <c r="O34" s="53">
        <f t="shared" si="74"/>
        <v>3</v>
      </c>
      <c r="P34" s="302">
        <f t="shared" si="74"/>
        <v>4</v>
      </c>
      <c r="Q34" s="117">
        <f t="shared" si="75"/>
        <v>7</v>
      </c>
      <c r="R34" s="101">
        <f t="shared" si="76"/>
        <v>5</v>
      </c>
      <c r="T34" s="54" t="s">
        <v>100</v>
      </c>
      <c r="U34" s="54">
        <v>9</v>
      </c>
      <c r="V34" s="300">
        <v>10</v>
      </c>
      <c r="W34" s="299">
        <f t="shared" si="80"/>
        <v>10</v>
      </c>
      <c r="X34" s="300">
        <f t="shared" si="81"/>
        <v>10</v>
      </c>
      <c r="Z34" t="s">
        <v>461</v>
      </c>
      <c r="AA34">
        <v>8</v>
      </c>
    </row>
    <row r="35" spans="2:27">
      <c r="B35" s="39">
        <v>9</v>
      </c>
      <c r="C35" s="59" t="s">
        <v>486</v>
      </c>
      <c r="D35" s="40" t="s">
        <v>96</v>
      </c>
      <c r="E35" s="42" t="str">
        <f t="shared" si="82"/>
        <v>R</v>
      </c>
      <c r="F35" s="299">
        <f t="shared" si="72"/>
        <v>1</v>
      </c>
      <c r="G35" s="299">
        <f t="shared" si="77"/>
        <v>2</v>
      </c>
      <c r="H35" s="69">
        <f t="shared" si="78"/>
        <v>5.625</v>
      </c>
      <c r="I35" s="90">
        <v>9</v>
      </c>
      <c r="J35" s="54">
        <f t="shared" si="79"/>
        <v>7</v>
      </c>
      <c r="K35" s="299">
        <f t="shared" si="73"/>
        <v>6</v>
      </c>
      <c r="L35" s="299">
        <f t="shared" si="73"/>
        <v>2</v>
      </c>
      <c r="M35" s="299">
        <f t="shared" si="73"/>
        <v>7</v>
      </c>
      <c r="N35" s="299">
        <f t="shared" si="73"/>
        <v>7</v>
      </c>
      <c r="O35" s="54">
        <f t="shared" si="74"/>
        <v>3</v>
      </c>
      <c r="P35" s="300">
        <f t="shared" si="74"/>
        <v>5</v>
      </c>
      <c r="Q35" s="118">
        <f t="shared" si="75"/>
        <v>6</v>
      </c>
      <c r="R35" s="102">
        <f t="shared" si="76"/>
        <v>9</v>
      </c>
      <c r="Z35" t="s">
        <v>458</v>
      </c>
      <c r="AA35">
        <v>9</v>
      </c>
    </row>
    <row r="36" spans="2:27">
      <c r="B36" s="4"/>
      <c r="C36" s="37"/>
      <c r="D36" s="37"/>
      <c r="E36" s="37"/>
      <c r="F36" s="301"/>
      <c r="G36" s="301"/>
      <c r="H36" s="9"/>
    </row>
    <row r="37" spans="2:27" s="1" customFormat="1">
      <c r="B37" s="296" t="s">
        <v>488</v>
      </c>
      <c r="C37" s="44" t="s">
        <v>118</v>
      </c>
      <c r="D37" s="44" t="s">
        <v>119</v>
      </c>
      <c r="E37" s="50" t="s">
        <v>101</v>
      </c>
      <c r="F37" s="297" t="s">
        <v>156</v>
      </c>
      <c r="G37" s="297" t="s">
        <v>160</v>
      </c>
      <c r="H37" s="298" t="s">
        <v>158</v>
      </c>
      <c r="I37" s="88" t="s">
        <v>182</v>
      </c>
      <c r="J37" s="296" t="s">
        <v>92</v>
      </c>
      <c r="K37" s="297" t="s">
        <v>145</v>
      </c>
      <c r="L37" s="297" t="s">
        <v>146</v>
      </c>
      <c r="M37" s="297" t="s">
        <v>203</v>
      </c>
      <c r="N37" s="297" t="s">
        <v>93</v>
      </c>
      <c r="O37" s="296" t="s">
        <v>204</v>
      </c>
      <c r="P37" s="298" t="s">
        <v>205</v>
      </c>
      <c r="Q37" s="296" t="s">
        <v>213</v>
      </c>
      <c r="R37" s="87" t="s">
        <v>231</v>
      </c>
      <c r="T37" s="296" t="s">
        <v>119</v>
      </c>
      <c r="U37" s="296" t="s">
        <v>214</v>
      </c>
      <c r="V37" s="298" t="s">
        <v>235</v>
      </c>
      <c r="W37" s="297" t="s">
        <v>213</v>
      </c>
      <c r="X37" s="298" t="s">
        <v>231</v>
      </c>
      <c r="Z37" s="1" t="s">
        <v>452</v>
      </c>
    </row>
    <row r="38" spans="2:27">
      <c r="B38" s="36">
        <v>1</v>
      </c>
      <c r="C38" s="57" t="s">
        <v>463</v>
      </c>
      <c r="D38" s="33" t="s">
        <v>99</v>
      </c>
      <c r="E38" s="38" t="e">
        <f t="shared" ref="E38" si="83">IF($C38="","",VLOOKUP($C38,$C$3:$AK$24,$E$1-2,FALSE))</f>
        <v>#N/A</v>
      </c>
      <c r="F38" s="301" t="e">
        <f t="shared" ref="F38:F46" si="84">IF($C38="","",VLOOKUP($C38,$C$3:$AK$24,18+$B38,FALSE))</f>
        <v>#N/A</v>
      </c>
      <c r="G38" s="301" t="e">
        <f>IF($C38="","",IF(VLOOKUP($C38,$C$3:$AK$24,18+3,FALSE)=1,3,IF(VLOOKUP($C38,$C$3:$AK$24,18+4,FALSE)=1,4,IF(VLOOKUP($C38,$C$3:$AK$24,18+1,FALSE)=1,1,IF(VLOOKUP($C38,$C$3:$AK$24,18+5,FALSE)=1,5,IF(VLOOKUP($C38,$C$3:$AK$24,18+2,FALSE)=1,2,IF(VLOOKUP($C38,$C$3:$AK$24,18+6,FALSE)=1,6,IF(VLOOKUP($C38,$C$3:$AK$24,18+7,FALSE)=1,7,IF(VLOOKUP($C38,$C$3:$AK$24,18+8,FALSE)=1,8,9)))))))))</f>
        <v>#N/A</v>
      </c>
      <c r="H38" s="8" t="e">
        <f>IF($C38="","",VLOOKUP($C38,$C$3:$AK$24,35,FALSE))</f>
        <v>#N/A</v>
      </c>
      <c r="I38" s="89">
        <v>3</v>
      </c>
      <c r="J38" s="53" t="e">
        <f>IF($C38="","",VLOOKUP($C38,$C$3:$AZ$24,17+AD$1,FALSE))</f>
        <v>#N/A</v>
      </c>
      <c r="K38" s="301" t="e">
        <f t="shared" ref="K38:N46" si="85">IF($C38="","",VLOOKUP($C38,$C$3:$AZ$24,17+AE$1,FALSE))</f>
        <v>#N/A</v>
      </c>
      <c r="L38" s="301" t="e">
        <f t="shared" si="85"/>
        <v>#N/A</v>
      </c>
      <c r="M38" s="301" t="e">
        <f t="shared" si="85"/>
        <v>#N/A</v>
      </c>
      <c r="N38" s="301" t="e">
        <f t="shared" si="85"/>
        <v>#N/A</v>
      </c>
      <c r="O38" s="53" t="e">
        <f t="shared" ref="O38:P46" si="86">IF($C38="","",VLOOKUP($C38,$C$3:$AZ$24,1+AI$1,FALSE))</f>
        <v>#N/A</v>
      </c>
      <c r="P38" s="302" t="e">
        <f t="shared" si="86"/>
        <v>#N/A</v>
      </c>
      <c r="Q38" s="116" t="e">
        <f t="shared" ref="Q38:Q46" si="87">IF($C38="","",IF($D38="DH","-",VLOOKUP($C38,$C$2:$AZ$24,9+VLOOKUP($D38,$T$26:$U$34,2,FALSE),FALSE)))</f>
        <v>#N/A</v>
      </c>
      <c r="R38" s="101" t="e">
        <f t="shared" ref="R38:R46" si="88">IF($C38="","",IF($D38="DH","-",VLOOKUP($C38,$C$2:$AZ$24,VLOOKUP($D38,$T$26:$V$34,3,FALSE),FALSE)))</f>
        <v>#N/A</v>
      </c>
      <c r="T38" s="53" t="s">
        <v>92</v>
      </c>
      <c r="U38" s="53">
        <v>2</v>
      </c>
      <c r="V38" s="302">
        <v>8</v>
      </c>
      <c r="W38" s="301" t="e">
        <f>VLOOKUP($T38,$D$26:$R$35,14,FALSE)</f>
        <v>#N/A</v>
      </c>
      <c r="X38" s="302" t="e">
        <f>VLOOKUP($T38,$D$26:$R$35,15,FALSE)</f>
        <v>#N/A</v>
      </c>
      <c r="Z38" t="s">
        <v>453</v>
      </c>
      <c r="AA38">
        <v>1</v>
      </c>
    </row>
    <row r="39" spans="2:27">
      <c r="B39" s="36">
        <v>2</v>
      </c>
      <c r="C39" s="58" t="s">
        <v>43</v>
      </c>
      <c r="D39" s="37" t="s">
        <v>97</v>
      </c>
      <c r="E39" s="38" t="str">
        <f>IF($C39="","",VLOOKUP($C39,$C$3:$AK$24,$E$1-2,FALSE))</f>
        <v>L</v>
      </c>
      <c r="F39" s="301">
        <f t="shared" si="84"/>
        <v>1</v>
      </c>
      <c r="G39" s="301">
        <f t="shared" ref="G39:G46" si="89">IF($C39="","",IF(VLOOKUP($C39,$C$3:$AK$24,18+3,FALSE)=1,3,IF(VLOOKUP($C39,$C$3:$AK$24,18+4,FALSE)=1,4,IF(VLOOKUP($C39,$C$3:$AK$24,18+1,FALSE)=1,1,IF(VLOOKUP($C39,$C$3:$AK$24,18+5,FALSE)=1,5,IF(VLOOKUP($C39,$C$3:$AK$24,18+2,FALSE)=1,2,IF(VLOOKUP($C39,$C$3:$AK$24,18+6,FALSE)=1,6,IF(VLOOKUP($C39,$C$3:$AK$24,18+7,FALSE)=1,7,IF(VLOOKUP($C39,$C$3:$AK$24,18+8,FALSE)=1,8,9)))))))))</f>
        <v>3</v>
      </c>
      <c r="H39" s="8">
        <f t="shared" ref="H39:H46" si="90">IF($C39="","",VLOOKUP($C39,$C$3:$AK$24,35,FALSE))</f>
        <v>8.0277777777777786</v>
      </c>
      <c r="I39" s="89">
        <v>5</v>
      </c>
      <c r="J39" s="53">
        <f t="shared" ref="J39:J46" si="91">IF($C39="","",VLOOKUP($C39,$C$3:$AZ$24,17+AD$1,FALSE))</f>
        <v>8</v>
      </c>
      <c r="K39" s="301">
        <f t="shared" si="85"/>
        <v>8</v>
      </c>
      <c r="L39" s="301">
        <f t="shared" si="85"/>
        <v>10</v>
      </c>
      <c r="M39" s="301">
        <f t="shared" si="85"/>
        <v>7</v>
      </c>
      <c r="N39" s="301">
        <f t="shared" si="85"/>
        <v>4</v>
      </c>
      <c r="O39" s="53">
        <f t="shared" si="86"/>
        <v>2</v>
      </c>
      <c r="P39" s="302">
        <f t="shared" si="86"/>
        <v>4</v>
      </c>
      <c r="Q39" s="117">
        <f t="shared" si="87"/>
        <v>7</v>
      </c>
      <c r="R39" s="101">
        <f t="shared" si="88"/>
        <v>8</v>
      </c>
      <c r="T39" s="53" t="s">
        <v>94</v>
      </c>
      <c r="U39" s="53">
        <v>3</v>
      </c>
      <c r="V39" s="302">
        <v>9</v>
      </c>
      <c r="W39" s="301" t="e">
        <f t="shared" ref="W39:W45" si="92">VLOOKUP($T39,$D$26:$R$35,14,FALSE)</f>
        <v>#N/A</v>
      </c>
      <c r="X39" s="302" t="e">
        <f t="shared" ref="X39:X45" si="93">VLOOKUP($T39,$D$26:$R$35,15,FALSE)</f>
        <v>#N/A</v>
      </c>
      <c r="Z39" t="s">
        <v>454</v>
      </c>
      <c r="AA39">
        <v>3</v>
      </c>
    </row>
    <row r="40" spans="2:27">
      <c r="B40" s="36">
        <v>3</v>
      </c>
      <c r="C40" s="58" t="s">
        <v>381</v>
      </c>
      <c r="D40" s="65" t="s">
        <v>100</v>
      </c>
      <c r="E40" s="38" t="str">
        <f t="shared" ref="E40:E46" si="94">IF($C40="","",VLOOKUP($C40,$C$3:$AK$24,$E$1-2,FALSE))</f>
        <v>L</v>
      </c>
      <c r="F40" s="301">
        <f t="shared" si="84"/>
        <v>0</v>
      </c>
      <c r="G40" s="301">
        <f t="shared" si="89"/>
        <v>1</v>
      </c>
      <c r="H40" s="8">
        <f t="shared" si="90"/>
        <v>7.208333333333333</v>
      </c>
      <c r="I40" s="89">
        <v>1</v>
      </c>
      <c r="J40" s="53">
        <f t="shared" si="91"/>
        <v>10</v>
      </c>
      <c r="K40" s="301">
        <f t="shared" si="85"/>
        <v>7</v>
      </c>
      <c r="L40" s="301">
        <f t="shared" si="85"/>
        <v>4</v>
      </c>
      <c r="M40" s="301">
        <f t="shared" si="85"/>
        <v>6</v>
      </c>
      <c r="N40" s="301">
        <f t="shared" si="85"/>
        <v>8</v>
      </c>
      <c r="O40" s="53">
        <f t="shared" si="86"/>
        <v>7</v>
      </c>
      <c r="P40" s="302">
        <f t="shared" si="86"/>
        <v>9</v>
      </c>
      <c r="Q40" s="117">
        <f t="shared" si="87"/>
        <v>10</v>
      </c>
      <c r="R40" s="101">
        <f t="shared" si="88"/>
        <v>10</v>
      </c>
      <c r="T40" s="53" t="s">
        <v>95</v>
      </c>
      <c r="U40" s="53">
        <v>4</v>
      </c>
      <c r="V40" s="302">
        <v>9</v>
      </c>
      <c r="W40" s="301">
        <f t="shared" si="92"/>
        <v>7</v>
      </c>
      <c r="X40" s="302">
        <f t="shared" si="93"/>
        <v>5</v>
      </c>
      <c r="Z40" t="s">
        <v>457</v>
      </c>
      <c r="AA40">
        <v>5</v>
      </c>
    </row>
    <row r="41" spans="2:27">
      <c r="B41" s="36">
        <v>4</v>
      </c>
      <c r="C41" s="58" t="s">
        <v>516</v>
      </c>
      <c r="D41" s="65" t="s">
        <v>18</v>
      </c>
      <c r="E41" s="38" t="e">
        <f t="shared" si="94"/>
        <v>#N/A</v>
      </c>
      <c r="F41" s="301" t="e">
        <f t="shared" si="84"/>
        <v>#N/A</v>
      </c>
      <c r="G41" s="301" t="e">
        <f t="shared" si="89"/>
        <v>#N/A</v>
      </c>
      <c r="H41" s="8" t="e">
        <f t="shared" si="90"/>
        <v>#N/A</v>
      </c>
      <c r="I41" s="89">
        <v>2</v>
      </c>
      <c r="J41" s="53" t="e">
        <f t="shared" si="91"/>
        <v>#N/A</v>
      </c>
      <c r="K41" s="301" t="e">
        <f t="shared" si="85"/>
        <v>#N/A</v>
      </c>
      <c r="L41" s="301" t="e">
        <f t="shared" si="85"/>
        <v>#N/A</v>
      </c>
      <c r="M41" s="301" t="e">
        <f t="shared" si="85"/>
        <v>#N/A</v>
      </c>
      <c r="N41" s="301" t="e">
        <f t="shared" si="85"/>
        <v>#N/A</v>
      </c>
      <c r="O41" s="53" t="e">
        <f t="shared" si="86"/>
        <v>#N/A</v>
      </c>
      <c r="P41" s="302" t="e">
        <f t="shared" si="86"/>
        <v>#N/A</v>
      </c>
      <c r="Q41" s="117" t="str">
        <f t="shared" si="87"/>
        <v>-</v>
      </c>
      <c r="R41" s="101" t="str">
        <f t="shared" si="88"/>
        <v>-</v>
      </c>
      <c r="T41" s="53" t="s">
        <v>96</v>
      </c>
      <c r="U41" s="53">
        <v>5</v>
      </c>
      <c r="V41" s="302">
        <v>9</v>
      </c>
      <c r="W41" s="301">
        <f t="shared" si="92"/>
        <v>6</v>
      </c>
      <c r="X41" s="302">
        <f t="shared" si="93"/>
        <v>9</v>
      </c>
      <c r="Z41" t="s">
        <v>456</v>
      </c>
      <c r="AA41">
        <v>2</v>
      </c>
    </row>
    <row r="42" spans="2:27">
      <c r="B42" s="36">
        <v>5</v>
      </c>
      <c r="C42" s="58" t="s">
        <v>90</v>
      </c>
      <c r="D42" s="65" t="s">
        <v>92</v>
      </c>
      <c r="E42" s="38" t="e">
        <f t="shared" si="94"/>
        <v>#N/A</v>
      </c>
      <c r="F42" s="301" t="e">
        <f t="shared" si="84"/>
        <v>#N/A</v>
      </c>
      <c r="G42" s="301" t="e">
        <f t="shared" si="89"/>
        <v>#N/A</v>
      </c>
      <c r="H42" s="8" t="e">
        <f t="shared" si="90"/>
        <v>#N/A</v>
      </c>
      <c r="I42" s="89">
        <v>4</v>
      </c>
      <c r="J42" s="53" t="e">
        <f t="shared" si="91"/>
        <v>#N/A</v>
      </c>
      <c r="K42" s="301" t="e">
        <f t="shared" si="85"/>
        <v>#N/A</v>
      </c>
      <c r="L42" s="301" t="e">
        <f t="shared" si="85"/>
        <v>#N/A</v>
      </c>
      <c r="M42" s="301" t="e">
        <f t="shared" si="85"/>
        <v>#N/A</v>
      </c>
      <c r="N42" s="301" t="e">
        <f t="shared" si="85"/>
        <v>#N/A</v>
      </c>
      <c r="O42" s="53" t="e">
        <f t="shared" si="86"/>
        <v>#N/A</v>
      </c>
      <c r="P42" s="302" t="e">
        <f t="shared" si="86"/>
        <v>#N/A</v>
      </c>
      <c r="Q42" s="117" t="e">
        <f t="shared" si="87"/>
        <v>#N/A</v>
      </c>
      <c r="R42" s="101" t="e">
        <f t="shared" si="88"/>
        <v>#N/A</v>
      </c>
      <c r="T42" s="53" t="s">
        <v>97</v>
      </c>
      <c r="U42" s="53">
        <v>6</v>
      </c>
      <c r="V42" s="302">
        <v>9</v>
      </c>
      <c r="W42" s="301">
        <f t="shared" si="92"/>
        <v>7</v>
      </c>
      <c r="X42" s="302">
        <f t="shared" si="93"/>
        <v>8</v>
      </c>
      <c r="Z42" t="s">
        <v>455</v>
      </c>
      <c r="AA42">
        <v>4</v>
      </c>
    </row>
    <row r="43" spans="2:27">
      <c r="B43" s="36">
        <v>6</v>
      </c>
      <c r="C43" s="58" t="s">
        <v>408</v>
      </c>
      <c r="D43" s="65" t="s">
        <v>98</v>
      </c>
      <c r="E43" s="38" t="str">
        <f t="shared" si="94"/>
        <v>L</v>
      </c>
      <c r="F43" s="301">
        <f t="shared" si="84"/>
        <v>1</v>
      </c>
      <c r="G43" s="301">
        <f t="shared" si="89"/>
        <v>1</v>
      </c>
      <c r="H43" s="8">
        <f t="shared" si="90"/>
        <v>7.3055555555555554</v>
      </c>
      <c r="I43" s="89">
        <v>6</v>
      </c>
      <c r="J43" s="53">
        <f t="shared" si="91"/>
        <v>8</v>
      </c>
      <c r="K43" s="301">
        <f t="shared" si="85"/>
        <v>7</v>
      </c>
      <c r="L43" s="301">
        <f t="shared" si="85"/>
        <v>7</v>
      </c>
      <c r="M43" s="301">
        <f t="shared" si="85"/>
        <v>6</v>
      </c>
      <c r="N43" s="301">
        <f t="shared" si="85"/>
        <v>9</v>
      </c>
      <c r="O43" s="53">
        <f t="shared" si="86"/>
        <v>7</v>
      </c>
      <c r="P43" s="302">
        <f t="shared" si="86"/>
        <v>10</v>
      </c>
      <c r="Q43" s="117">
        <f t="shared" si="87"/>
        <v>10</v>
      </c>
      <c r="R43" s="101">
        <f t="shared" si="88"/>
        <v>4</v>
      </c>
      <c r="T43" s="53" t="s">
        <v>98</v>
      </c>
      <c r="U43" s="53">
        <v>7</v>
      </c>
      <c r="V43" s="302">
        <v>10</v>
      </c>
      <c r="W43" s="301">
        <f t="shared" si="92"/>
        <v>10</v>
      </c>
      <c r="X43" s="302">
        <f t="shared" si="93"/>
        <v>4</v>
      </c>
      <c r="Z43" t="s">
        <v>459</v>
      </c>
      <c r="AA43">
        <v>6</v>
      </c>
    </row>
    <row r="44" spans="2:27">
      <c r="B44" s="36">
        <v>7</v>
      </c>
      <c r="C44" s="58" t="s">
        <v>411</v>
      </c>
      <c r="D44" s="65" t="s">
        <v>94</v>
      </c>
      <c r="E44" s="38" t="e">
        <f t="shared" si="94"/>
        <v>#N/A</v>
      </c>
      <c r="F44" s="301" t="e">
        <f t="shared" si="84"/>
        <v>#N/A</v>
      </c>
      <c r="G44" s="301" t="e">
        <f t="shared" si="89"/>
        <v>#N/A</v>
      </c>
      <c r="H44" s="8" t="e">
        <f t="shared" si="90"/>
        <v>#N/A</v>
      </c>
      <c r="I44" s="89">
        <v>7</v>
      </c>
      <c r="J44" s="53" t="e">
        <f t="shared" si="91"/>
        <v>#N/A</v>
      </c>
      <c r="K44" s="301" t="e">
        <f t="shared" si="85"/>
        <v>#N/A</v>
      </c>
      <c r="L44" s="301" t="e">
        <f t="shared" si="85"/>
        <v>#N/A</v>
      </c>
      <c r="M44" s="301" t="e">
        <f t="shared" si="85"/>
        <v>#N/A</v>
      </c>
      <c r="N44" s="301" t="e">
        <f t="shared" si="85"/>
        <v>#N/A</v>
      </c>
      <c r="O44" s="53" t="e">
        <f t="shared" si="86"/>
        <v>#N/A</v>
      </c>
      <c r="P44" s="302" t="e">
        <f t="shared" si="86"/>
        <v>#N/A</v>
      </c>
      <c r="Q44" s="117" t="e">
        <f t="shared" si="87"/>
        <v>#N/A</v>
      </c>
      <c r="R44" s="101" t="e">
        <f t="shared" si="88"/>
        <v>#N/A</v>
      </c>
      <c r="T44" s="53" t="s">
        <v>99</v>
      </c>
      <c r="U44" s="53">
        <v>8</v>
      </c>
      <c r="V44" s="302">
        <v>10</v>
      </c>
      <c r="W44" s="301" t="e">
        <f t="shared" si="92"/>
        <v>#N/A</v>
      </c>
      <c r="X44" s="302" t="e">
        <f t="shared" si="93"/>
        <v>#N/A</v>
      </c>
      <c r="Z44" t="s">
        <v>460</v>
      </c>
      <c r="AA44">
        <v>7</v>
      </c>
    </row>
    <row r="45" spans="2:27">
      <c r="B45" s="36">
        <v>8</v>
      </c>
      <c r="C45" s="58" t="s">
        <v>51</v>
      </c>
      <c r="D45" s="65" t="s">
        <v>95</v>
      </c>
      <c r="E45" s="38" t="str">
        <f t="shared" si="94"/>
        <v>R</v>
      </c>
      <c r="F45" s="301">
        <f t="shared" si="84"/>
        <v>1</v>
      </c>
      <c r="G45" s="301">
        <f t="shared" si="89"/>
        <v>2</v>
      </c>
      <c r="H45" s="8">
        <f t="shared" si="90"/>
        <v>6.4444444444444446</v>
      </c>
      <c r="I45" s="89">
        <v>8</v>
      </c>
      <c r="J45" s="53">
        <f t="shared" si="91"/>
        <v>7</v>
      </c>
      <c r="K45" s="301">
        <f t="shared" si="85"/>
        <v>6</v>
      </c>
      <c r="L45" s="301">
        <f t="shared" si="85"/>
        <v>5</v>
      </c>
      <c r="M45" s="301">
        <f t="shared" si="85"/>
        <v>7</v>
      </c>
      <c r="N45" s="301">
        <f t="shared" si="85"/>
        <v>8</v>
      </c>
      <c r="O45" s="53">
        <f t="shared" si="86"/>
        <v>3</v>
      </c>
      <c r="P45" s="302">
        <f t="shared" si="86"/>
        <v>4</v>
      </c>
      <c r="Q45" s="117">
        <f t="shared" si="87"/>
        <v>7</v>
      </c>
      <c r="R45" s="101">
        <f t="shared" si="88"/>
        <v>5</v>
      </c>
      <c r="T45" s="54" t="s">
        <v>100</v>
      </c>
      <c r="U45" s="54">
        <v>9</v>
      </c>
      <c r="V45" s="300">
        <v>10</v>
      </c>
      <c r="W45" s="299">
        <f t="shared" si="92"/>
        <v>10</v>
      </c>
      <c r="X45" s="300">
        <f t="shared" si="93"/>
        <v>10</v>
      </c>
      <c r="Z45" t="s">
        <v>461</v>
      </c>
      <c r="AA45">
        <v>8</v>
      </c>
    </row>
    <row r="46" spans="2:27">
      <c r="B46" s="39">
        <v>9</v>
      </c>
      <c r="C46" s="59" t="s">
        <v>486</v>
      </c>
      <c r="D46" s="40" t="s">
        <v>96</v>
      </c>
      <c r="E46" s="42" t="str">
        <f t="shared" si="94"/>
        <v>R</v>
      </c>
      <c r="F46" s="299">
        <f t="shared" si="84"/>
        <v>1</v>
      </c>
      <c r="G46" s="299">
        <f t="shared" si="89"/>
        <v>2</v>
      </c>
      <c r="H46" s="69">
        <f t="shared" si="90"/>
        <v>5.625</v>
      </c>
      <c r="I46" s="90">
        <v>9</v>
      </c>
      <c r="J46" s="54">
        <f t="shared" si="91"/>
        <v>7</v>
      </c>
      <c r="K46" s="299">
        <f t="shared" si="85"/>
        <v>6</v>
      </c>
      <c r="L46" s="299">
        <f t="shared" si="85"/>
        <v>2</v>
      </c>
      <c r="M46" s="299">
        <f t="shared" si="85"/>
        <v>7</v>
      </c>
      <c r="N46" s="299">
        <f t="shared" si="85"/>
        <v>7</v>
      </c>
      <c r="O46" s="54">
        <f t="shared" si="86"/>
        <v>3</v>
      </c>
      <c r="P46" s="300">
        <f t="shared" si="86"/>
        <v>5</v>
      </c>
      <c r="Q46" s="118">
        <f t="shared" si="87"/>
        <v>6</v>
      </c>
      <c r="R46" s="102">
        <f t="shared" si="88"/>
        <v>9</v>
      </c>
      <c r="Z46" t="s">
        <v>458</v>
      </c>
      <c r="AA46">
        <v>9</v>
      </c>
    </row>
    <row r="47" spans="2:27">
      <c r="B47" s="4"/>
      <c r="C47" s="37"/>
      <c r="D47" s="37"/>
      <c r="E47" s="37"/>
      <c r="F47" s="301"/>
      <c r="G47" s="301"/>
      <c r="H47" s="9"/>
    </row>
    <row r="48" spans="2:27">
      <c r="B48" s="32" t="s">
        <v>194</v>
      </c>
      <c r="C48" s="35">
        <f>COUNTA(C3:C11,C14:C19,C22:C24)</f>
        <v>11</v>
      </c>
      <c r="D48" s="287">
        <f>C48/$C$50</f>
        <v>0.47826086956521741</v>
      </c>
      <c r="E48" s="37"/>
      <c r="F48" s="301"/>
      <c r="G48" s="301"/>
      <c r="H48" s="9"/>
    </row>
    <row r="49" spans="1:33">
      <c r="B49" s="36" t="s">
        <v>195</v>
      </c>
      <c r="C49" s="38">
        <f>COUNTA(C53:C58,C61:C62,C65:C70)</f>
        <v>12</v>
      </c>
      <c r="D49" s="287">
        <f>C49/$C$50</f>
        <v>0.52173913043478259</v>
      </c>
      <c r="E49" s="37"/>
      <c r="F49" s="301"/>
      <c r="G49" s="301"/>
      <c r="H49" s="9"/>
    </row>
    <row r="50" spans="1:33">
      <c r="B50" s="39" t="s">
        <v>196</v>
      </c>
      <c r="C50" s="42">
        <f>C48+C49</f>
        <v>23</v>
      </c>
      <c r="D50" s="37"/>
      <c r="E50" s="37"/>
      <c r="F50" s="301"/>
      <c r="G50" s="301"/>
      <c r="H50" s="9"/>
    </row>
    <row r="51" spans="1:33">
      <c r="I51">
        <v>6</v>
      </c>
      <c r="K51">
        <v>11</v>
      </c>
      <c r="L51">
        <v>12</v>
      </c>
      <c r="M51">
        <v>13</v>
      </c>
      <c r="N51">
        <v>17</v>
      </c>
      <c r="O51">
        <f>N51+2</f>
        <v>19</v>
      </c>
      <c r="P51">
        <f t="shared" ref="P51:Y51" si="95">O51+2</f>
        <v>21</v>
      </c>
      <c r="Q51">
        <f t="shared" si="95"/>
        <v>23</v>
      </c>
      <c r="R51">
        <f t="shared" si="95"/>
        <v>25</v>
      </c>
      <c r="S51">
        <f t="shared" si="95"/>
        <v>27</v>
      </c>
      <c r="T51">
        <f t="shared" si="95"/>
        <v>29</v>
      </c>
      <c r="U51">
        <f t="shared" si="95"/>
        <v>31</v>
      </c>
      <c r="V51">
        <f t="shared" si="95"/>
        <v>33</v>
      </c>
      <c r="W51">
        <f t="shared" si="95"/>
        <v>35</v>
      </c>
      <c r="X51">
        <f t="shared" si="95"/>
        <v>37</v>
      </c>
      <c r="Y51">
        <f t="shared" si="95"/>
        <v>39</v>
      </c>
      <c r="Z51">
        <v>41</v>
      </c>
      <c r="AA51">
        <v>42</v>
      </c>
      <c r="AB51">
        <v>43</v>
      </c>
      <c r="AC51">
        <v>46</v>
      </c>
      <c r="AD51">
        <v>14</v>
      </c>
      <c r="AE51">
        <v>15</v>
      </c>
      <c r="AF51">
        <v>16</v>
      </c>
      <c r="AG51">
        <v>48</v>
      </c>
    </row>
    <row r="52" spans="1:33" s="301" customFormat="1" ht="74.25">
      <c r="A52" s="73" t="s">
        <v>193</v>
      </c>
      <c r="B52" s="296" t="s">
        <v>126</v>
      </c>
      <c r="C52" s="44" t="s">
        <v>118</v>
      </c>
      <c r="D52" s="44" t="s">
        <v>91</v>
      </c>
      <c r="E52" s="50" t="s">
        <v>102</v>
      </c>
      <c r="F52" s="46" t="s">
        <v>183</v>
      </c>
      <c r="G52" s="46" t="s">
        <v>184</v>
      </c>
      <c r="H52" s="46" t="s">
        <v>185</v>
      </c>
      <c r="I52" s="76" t="s">
        <v>212</v>
      </c>
      <c r="J52" s="76" t="s">
        <v>189</v>
      </c>
      <c r="K52" s="74" t="s">
        <v>186</v>
      </c>
      <c r="L52" s="74" t="s">
        <v>187</v>
      </c>
      <c r="M52" s="75" t="s">
        <v>188</v>
      </c>
      <c r="N52" s="74" t="s">
        <v>60</v>
      </c>
      <c r="O52" s="74" t="s">
        <v>62</v>
      </c>
      <c r="P52" s="74" t="s">
        <v>64</v>
      </c>
      <c r="Q52" s="74" t="s">
        <v>66</v>
      </c>
      <c r="R52" s="74" t="s">
        <v>68</v>
      </c>
      <c r="S52" s="74" t="s">
        <v>108</v>
      </c>
      <c r="T52" s="74" t="s">
        <v>71</v>
      </c>
      <c r="U52" s="74" t="s">
        <v>73</v>
      </c>
      <c r="V52" s="74" t="s">
        <v>75</v>
      </c>
      <c r="W52" s="74" t="s">
        <v>77</v>
      </c>
      <c r="X52" s="74" t="s">
        <v>79</v>
      </c>
      <c r="Y52" s="75" t="s">
        <v>81</v>
      </c>
      <c r="Z52" s="79" t="s">
        <v>199</v>
      </c>
      <c r="AA52" s="74" t="s">
        <v>198</v>
      </c>
      <c r="AB52" s="75" t="s">
        <v>200</v>
      </c>
      <c r="AC52" s="288" t="s">
        <v>537</v>
      </c>
      <c r="AD52" s="74" t="s">
        <v>186</v>
      </c>
      <c r="AE52" s="74" t="s">
        <v>187</v>
      </c>
      <c r="AF52" s="75" t="s">
        <v>188</v>
      </c>
      <c r="AG52" s="288" t="s">
        <v>197</v>
      </c>
    </row>
    <row r="53" spans="1:33">
      <c r="A53" s="301">
        <v>1</v>
      </c>
      <c r="B53" s="36" t="s">
        <v>108</v>
      </c>
      <c r="C53" s="301" t="s">
        <v>4</v>
      </c>
      <c r="D53" s="37">
        <f>IF($C53="","",VLOOKUP($C53,CTPit!$E$10:$BG$214,D$1,FALSE))</f>
        <v>25</v>
      </c>
      <c r="E53" s="38" t="str">
        <f>IF($C53="","",VLOOKUP($C53,CTPit!$E$10:$BG$214,E$1+1,FALSE))</f>
        <v>R</v>
      </c>
      <c r="F53" s="301">
        <f t="shared" ref="F53:F58" si="96">IF($C53="","",IF(AVERAGE(K53:M53)&gt;7,1,0))</f>
        <v>1</v>
      </c>
      <c r="G53" s="301">
        <f t="shared" ref="G53:G58" si="97">IF($C53="","",IF(AVERAGE(K53:M53)&gt;6.5,1,0))</f>
        <v>1</v>
      </c>
      <c r="H53" s="301">
        <f t="shared" ref="H53:H58" si="98">IF($C53="","",IF(AVERAGE(K53:M53)&gt;6,1,0))</f>
        <v>1</v>
      </c>
      <c r="I53" s="98" t="str">
        <f>IF($C53="","",VLOOKUP($C53,CTPit!$E$10:$BG$72,I$51,FALSE))</f>
        <v>R</v>
      </c>
      <c r="J53" s="77">
        <f t="shared" ref="J53:J58" si="99">IF($C53="","",COUNT(N53:Y53))</f>
        <v>5</v>
      </c>
      <c r="K53" s="301">
        <f>IF($C53="","",VLOOKUP($C53,CTPit!$E$10:$BG$72,K$51,FALSE))</f>
        <v>8</v>
      </c>
      <c r="L53" s="301">
        <f>IF($C53="","",VLOOKUP($C53,CTPit!$E$10:$BG$72,L$51,FALSE))</f>
        <v>7</v>
      </c>
      <c r="M53" s="302">
        <f>IF($C53="","",VLOOKUP($C53,CTPit!$E$10:$BG$72,M$51,FALSE))</f>
        <v>8</v>
      </c>
      <c r="N53" s="301">
        <f>IF($C53="","",VLOOKUP($C53,CTPit!$E$10:$BG$72,N$51,FALSE))</f>
        <v>8</v>
      </c>
      <c r="O53" s="301">
        <f>IF($C53="","",VLOOKUP($C53,CTPit!$E$10:$BG$72,O$51,FALSE))</f>
        <v>8</v>
      </c>
      <c r="P53" s="301" t="str">
        <f>IF($C53="","",VLOOKUP($C53,CTPit!$E$10:$BG$72,P$51,FALSE))</f>
        <v>-</v>
      </c>
      <c r="Q53" s="301">
        <f>IF($C53="","",VLOOKUP($C53,CTPit!$E$10:$BG$72,Q$51,FALSE))</f>
        <v>8</v>
      </c>
      <c r="R53" s="301">
        <f>IF($C53="","",VLOOKUP($C53,CTPit!$E$10:$BG$72,R$51,FALSE))</f>
        <v>8</v>
      </c>
      <c r="S53" s="301" t="str">
        <f>IF($C53="","",VLOOKUP($C53,CTPit!$E$10:$BG$72,S$51,FALSE))</f>
        <v>-</v>
      </c>
      <c r="T53" s="301" t="str">
        <f>IF($C53="","",VLOOKUP($C53,CTPit!$E$10:$BG$72,T$51,FALSE))</f>
        <v>-</v>
      </c>
      <c r="U53" s="301" t="str">
        <f>IF($C53="","",VLOOKUP($C53,CTPit!$E$10:$BG$72,U$51,FALSE))</f>
        <v>-</v>
      </c>
      <c r="V53" s="301">
        <f>IF($C53="","",VLOOKUP($C53,CTPit!$E$10:$BG$72,V$51,FALSE))</f>
        <v>2</v>
      </c>
      <c r="W53" s="301" t="str">
        <f>IF($C53="","",VLOOKUP($C53,CTPit!$E$10:$BG$72,W$51,FALSE))</f>
        <v>-</v>
      </c>
      <c r="X53" s="301" t="str">
        <f>IF($C53="","",VLOOKUP($C53,CTPit!$E$10:$BG$72,X$51,FALSE))</f>
        <v>-</v>
      </c>
      <c r="Y53" s="302" t="str">
        <f>IF($C53="","",VLOOKUP($C53,CTPit!$E$10:$BG$72,Y$51,FALSE))</f>
        <v>-</v>
      </c>
      <c r="Z53" s="53" t="str">
        <f>IF($C53="","",VLOOKUP($C53,CTPit!$E$10:$BG$72,Z$51,FALSE))</f>
        <v>95-97 Mph</v>
      </c>
      <c r="AA53" s="301">
        <f>IF($C53="","",VLOOKUP($C53,CTPit!$E$10:$BG$72,AA$51,FALSE))</f>
        <v>8</v>
      </c>
      <c r="AB53" s="80">
        <f>IF($C53="","",VLOOKUP($C53,CTPit!$E$10:$BG$72,AB$51,FALSE))</f>
        <v>0.65</v>
      </c>
      <c r="AC53" s="289">
        <f>IF($C53="","",VLOOKUP($C53,CTPit!$E$10:$BG$72,AC$51,FALSE))</f>
        <v>8.6666666666666679</v>
      </c>
      <c r="AD53" s="301">
        <f>IF($C53="","",VLOOKUP($C53,CTPit!$E$10:$BG$72,AD$51,FALSE))</f>
        <v>8</v>
      </c>
      <c r="AE53" s="301">
        <f>IF($C53="","",VLOOKUP($C53,CTPit!$E$10:$BG$72,AE$51,FALSE))</f>
        <v>7</v>
      </c>
      <c r="AF53" s="302">
        <f>IF($C53="","",VLOOKUP($C53,CTPit!$E$10:$BG$72,AF$51,FALSE))</f>
        <v>9</v>
      </c>
      <c r="AG53" s="289">
        <f>IF($C53="","",VLOOKUP($C53,CTPit!$E$10:$BG$72,AG$51,FALSE))</f>
        <v>9</v>
      </c>
    </row>
    <row r="54" spans="1:33">
      <c r="A54" s="301">
        <v>2</v>
      </c>
      <c r="B54" s="36" t="s">
        <v>108</v>
      </c>
      <c r="C54" s="37" t="s">
        <v>334</v>
      </c>
      <c r="D54" s="37">
        <f>IF($C54="","",VLOOKUP($C54,CTPit!$E$10:$BG$214,D$1,FALSE))</f>
        <v>26</v>
      </c>
      <c r="E54" s="38" t="str">
        <f>IF($C54="","",VLOOKUP($C54,CTPit!$E$10:$BG$214,E$1+1,FALSE))</f>
        <v>R</v>
      </c>
      <c r="F54" s="301">
        <f t="shared" si="96"/>
        <v>0</v>
      </c>
      <c r="G54" s="301">
        <f t="shared" si="97"/>
        <v>1</v>
      </c>
      <c r="H54" s="301">
        <f t="shared" si="98"/>
        <v>1</v>
      </c>
      <c r="I54" s="99" t="str">
        <f>IF($C54="","",VLOOKUP($C54,CTPit!$E$10:$BG$72,I$51,FALSE))</f>
        <v>R</v>
      </c>
      <c r="J54" s="77">
        <f t="shared" si="99"/>
        <v>4</v>
      </c>
      <c r="K54" s="301">
        <f>IF($C54="","",VLOOKUP($C54,CTPit!$E$10:$BG$72,K$51,FALSE))</f>
        <v>8</v>
      </c>
      <c r="L54" s="301">
        <f>IF($C54="","",VLOOKUP($C54,CTPit!$E$10:$BG$72,L$51,FALSE))</f>
        <v>6</v>
      </c>
      <c r="M54" s="302">
        <f>IF($C54="","",VLOOKUP($C54,CTPit!$E$10:$BG$72,M$51,FALSE))</f>
        <v>6</v>
      </c>
      <c r="N54" s="301">
        <f>IF($C54="","",VLOOKUP($C54,CTPit!$E$10:$BG$72,N$51,FALSE))</f>
        <v>9</v>
      </c>
      <c r="O54" s="301">
        <f>IF($C54="","",VLOOKUP($C54,CTPit!$E$10:$BG$72,O$51,FALSE))</f>
        <v>8</v>
      </c>
      <c r="P54" s="301" t="str">
        <f>IF($C54="","",VLOOKUP($C54,CTPit!$E$10:$BG$72,P$51,FALSE))</f>
        <v>-</v>
      </c>
      <c r="Q54" s="301">
        <f>IF($C54="","",VLOOKUP($C54,CTPit!$E$10:$BG$72,Q$51,FALSE))</f>
        <v>8</v>
      </c>
      <c r="R54" s="301" t="str">
        <f>IF($C54="","",VLOOKUP($C54,CTPit!$E$10:$BG$72,R$51,FALSE))</f>
        <v>-</v>
      </c>
      <c r="S54" s="301">
        <f>IF($C54="","",VLOOKUP($C54,CTPit!$E$10:$BG$72,S$51,FALSE))</f>
        <v>5</v>
      </c>
      <c r="T54" s="301" t="str">
        <f>IF($C54="","",VLOOKUP($C54,CTPit!$E$10:$BG$72,T$51,FALSE))</f>
        <v>-</v>
      </c>
      <c r="U54" s="301" t="str">
        <f>IF($C54="","",VLOOKUP($C54,CTPit!$E$10:$BG$72,U$51,FALSE))</f>
        <v>-</v>
      </c>
      <c r="V54" s="301" t="str">
        <f>IF($C54="","",VLOOKUP($C54,CTPit!$E$10:$BG$72,V$51,FALSE))</f>
        <v>-</v>
      </c>
      <c r="W54" s="301" t="str">
        <f>IF($C54="","",VLOOKUP($C54,CTPit!$E$10:$BG$72,W$51,FALSE))</f>
        <v>-</v>
      </c>
      <c r="X54" s="301" t="str">
        <f>IF($C54="","",VLOOKUP($C54,CTPit!$E$10:$BG$72,X$51,FALSE))</f>
        <v>-</v>
      </c>
      <c r="Y54" s="302" t="str">
        <f>IF($C54="","",VLOOKUP($C54,CTPit!$E$10:$BG$72,Y$51,FALSE))</f>
        <v>-</v>
      </c>
      <c r="Z54" s="53" t="str">
        <f>IF($C54="","",VLOOKUP($C54,CTPit!$E$10:$BG$72,Z$51,FALSE))</f>
        <v>96-98 Mph</v>
      </c>
      <c r="AA54" s="301">
        <f>IF($C54="","",VLOOKUP($C54,CTPit!$E$10:$BG$72,AA$51,FALSE))</f>
        <v>9</v>
      </c>
      <c r="AB54" s="80">
        <f>IF($C54="","",VLOOKUP($C54,CTPit!$E$10:$BG$72,AB$51,FALSE))</f>
        <v>0.39</v>
      </c>
      <c r="AC54" s="67">
        <f>IF($C54="","",VLOOKUP($C54,CTPit!$E$10:$BG$72,AC$51,FALSE))</f>
        <v>7.166666666666667</v>
      </c>
      <c r="AD54" s="301">
        <f>IF($C54="","",VLOOKUP($C54,CTPit!$E$10:$BG$72,AD$51,FALSE))</f>
        <v>8</v>
      </c>
      <c r="AE54" s="301">
        <f>IF($C54="","",VLOOKUP($C54,CTPit!$E$10:$BG$72,AE$51,FALSE))</f>
        <v>6</v>
      </c>
      <c r="AF54" s="302">
        <f>IF($C54="","",VLOOKUP($C54,CTPit!$E$10:$BG$72,AF$51,FALSE))</f>
        <v>7</v>
      </c>
      <c r="AG54" s="67">
        <f>IF($C54="","",VLOOKUP($C54,CTPit!$E$10:$BG$72,AG$51,FALSE))</f>
        <v>7.5</v>
      </c>
    </row>
    <row r="55" spans="1:33">
      <c r="A55" s="301">
        <v>3</v>
      </c>
      <c r="B55" s="36" t="s">
        <v>108</v>
      </c>
      <c r="C55" s="301" t="s">
        <v>491</v>
      </c>
      <c r="D55" s="37">
        <f>IF($C55="","",VLOOKUP($C55,CTPit!$E$10:$BG$214,D$1,FALSE))</f>
        <v>25</v>
      </c>
      <c r="E55" s="38" t="str">
        <f>IF($C55="","",VLOOKUP($C55,CTPit!$E$10:$BG$214,E$1+1,FALSE))</f>
        <v>R</v>
      </c>
      <c r="F55" s="301">
        <f t="shared" si="96"/>
        <v>0</v>
      </c>
      <c r="G55" s="301">
        <f t="shared" si="97"/>
        <v>0</v>
      </c>
      <c r="H55" s="301">
        <f>IF($C55="","",IF(AVERAGE(K55:M55)&gt;6,1,0))</f>
        <v>1</v>
      </c>
      <c r="I55" s="99" t="str">
        <f>IF($C55="","",VLOOKUP($C55,CTPit!$E$10:$BG$72,I$51,FALSE))</f>
        <v>R</v>
      </c>
      <c r="J55" s="77">
        <f t="shared" si="99"/>
        <v>3</v>
      </c>
      <c r="K55" s="301">
        <f>IF($C55="","",VLOOKUP($C55,CTPit!$E$10:$BG$72,K$51,FALSE))</f>
        <v>8</v>
      </c>
      <c r="L55" s="301">
        <f>IF($C55="","",VLOOKUP($C55,CTPit!$E$10:$BG$72,L$51,FALSE))</f>
        <v>5</v>
      </c>
      <c r="M55" s="302">
        <f>IF($C55="","",VLOOKUP($C55,CTPit!$E$10:$BG$72,M$51,FALSE))</f>
        <v>6</v>
      </c>
      <c r="N55" s="301">
        <f>IF($C55="","",VLOOKUP($C55,CTPit!$E$10:$BG$72,N$51,FALSE))</f>
        <v>9</v>
      </c>
      <c r="O55" s="301">
        <f>IF($C55="","",VLOOKUP($C55,CTPit!$E$10:$BG$72,O$51,FALSE))</f>
        <v>8</v>
      </c>
      <c r="P55" s="301" t="str">
        <f>IF($C55="","",VLOOKUP($C55,CTPit!$E$10:$BG$72,P$51,FALSE))</f>
        <v>-</v>
      </c>
      <c r="Q55" s="301" t="str">
        <f>IF($C55="","",VLOOKUP($C55,CTPit!$E$10:$BG$72,Q$51,FALSE))</f>
        <v>-</v>
      </c>
      <c r="R55" s="301" t="str">
        <f>IF($C55="","",VLOOKUP($C55,CTPit!$E$10:$BG$72,R$51,FALSE))</f>
        <v>-</v>
      </c>
      <c r="S55" s="301">
        <f>IF($C55="","",VLOOKUP($C55,CTPit!$E$10:$BG$72,S$51,FALSE))</f>
        <v>7</v>
      </c>
      <c r="T55" s="301" t="str">
        <f>IF($C55="","",VLOOKUP($C55,CTPit!$E$10:$BG$72,T$51,FALSE))</f>
        <v>-</v>
      </c>
      <c r="U55" s="301" t="str">
        <f>IF($C55="","",VLOOKUP($C55,CTPit!$E$10:$BG$72,U$51,FALSE))</f>
        <v>-</v>
      </c>
      <c r="V55" s="301" t="str">
        <f>IF($C55="","",VLOOKUP($C55,CTPit!$E$10:$BG$72,V$51,FALSE))</f>
        <v>-</v>
      </c>
      <c r="W55" s="301" t="str">
        <f>IF($C55="","",VLOOKUP($C55,CTPit!$E$10:$BG$72,W$51,FALSE))</f>
        <v>-</v>
      </c>
      <c r="X55" s="301" t="str">
        <f>IF($C55="","",VLOOKUP($C55,CTPit!$E$10:$BG$72,X$51,FALSE))</f>
        <v>-</v>
      </c>
      <c r="Y55" s="302" t="str">
        <f>IF($C55="","",VLOOKUP($C55,CTPit!$E$10:$BG$72,Y$51,FALSE))</f>
        <v>-</v>
      </c>
      <c r="Z55" s="53" t="str">
        <f>IF($C55="","",VLOOKUP($C55,CTPit!$E$10:$BG$72,Z$51,FALSE))</f>
        <v>95-97 Mph</v>
      </c>
      <c r="AA55" s="301">
        <f>IF($C55="","",VLOOKUP($C55,CTPit!$E$10:$BG$72,AA$51,FALSE))</f>
        <v>8</v>
      </c>
      <c r="AB55" s="80">
        <f>IF($C55="","",VLOOKUP($C55,CTPit!$E$10:$BG$72,AB$51,FALSE))</f>
        <v>0.44</v>
      </c>
      <c r="AC55" s="67">
        <f>IF($C55="","",VLOOKUP($C55,CTPit!$E$10:$BG$72,AC$51,FALSE))</f>
        <v>6.583333333333333</v>
      </c>
      <c r="AD55" s="301">
        <f>IF($C55="","",VLOOKUP($C55,CTPit!$E$10:$BG$72,AD$51,FALSE))</f>
        <v>8</v>
      </c>
      <c r="AE55" s="301">
        <f>IF($C55="","",VLOOKUP($C55,CTPit!$E$10:$BG$72,AE$51,FALSE))</f>
        <v>5</v>
      </c>
      <c r="AF55" s="302">
        <f>IF($C55="","",VLOOKUP($C55,CTPit!$E$10:$BG$72,AF$51,FALSE))</f>
        <v>6</v>
      </c>
      <c r="AG55" s="67">
        <f>IF($C55="","",VLOOKUP($C55,CTPit!$E$10:$BG$72,AG$51,FALSE))</f>
        <v>6.583333333333333</v>
      </c>
    </row>
    <row r="56" spans="1:33">
      <c r="A56" s="301">
        <v>4</v>
      </c>
      <c r="B56" s="36" t="s">
        <v>108</v>
      </c>
      <c r="C56" s="65" t="s">
        <v>409</v>
      </c>
      <c r="D56" s="37">
        <f>IF($C56="","",VLOOKUP($C56,CTPit!$E$10:$BG$214,D$1,FALSE))</f>
        <v>28</v>
      </c>
      <c r="E56" s="38" t="str">
        <f>IF($C56="","",VLOOKUP($C56,CTPit!$E$10:$BG$214,E$1+1,FALSE))</f>
        <v>L</v>
      </c>
      <c r="F56" s="301">
        <f t="shared" si="96"/>
        <v>0</v>
      </c>
      <c r="G56" s="301">
        <f t="shared" si="97"/>
        <v>0</v>
      </c>
      <c r="H56" s="301">
        <f t="shared" si="98"/>
        <v>0</v>
      </c>
      <c r="I56" s="99" t="str">
        <f>IF($C56="","",VLOOKUP($C56,CTPit!$E$10:$BG$72,I$51,FALSE))</f>
        <v>L</v>
      </c>
      <c r="J56" s="77">
        <f t="shared" si="99"/>
        <v>3</v>
      </c>
      <c r="K56" s="301">
        <f>IF($C56="","",VLOOKUP($C56,CTPit!$E$10:$BG$72,K$51,FALSE))</f>
        <v>8</v>
      </c>
      <c r="L56" s="301">
        <f>IF($C56="","",VLOOKUP($C56,CTPit!$E$10:$BG$72,L$51,FALSE))</f>
        <v>5</v>
      </c>
      <c r="M56" s="302">
        <f>IF($C56="","",VLOOKUP($C56,CTPit!$E$10:$BG$72,M$51,FALSE))</f>
        <v>5</v>
      </c>
      <c r="N56" s="301">
        <f>IF($C56="","",VLOOKUP($C56,CTPit!$E$10:$BG$72,N$51,FALSE))</f>
        <v>8</v>
      </c>
      <c r="O56" s="301">
        <f>IF($C56="","",VLOOKUP($C56,CTPit!$E$10:$BG$72,O$51,FALSE))</f>
        <v>10</v>
      </c>
      <c r="P56" s="301" t="str">
        <f>IF($C56="","",VLOOKUP($C56,CTPit!$E$10:$BG$72,P$51,FALSE))</f>
        <v>-</v>
      </c>
      <c r="Q56" s="301">
        <f>IF($C56="","",VLOOKUP($C56,CTPit!$E$10:$BG$72,Q$51,FALSE))</f>
        <v>8</v>
      </c>
      <c r="R56" s="301" t="str">
        <f>IF($C56="","",VLOOKUP($C56,CTPit!$E$10:$BG$72,R$51,FALSE))</f>
        <v>-</v>
      </c>
      <c r="S56" s="301" t="str">
        <f>IF($C56="","",VLOOKUP($C56,CTPit!$E$10:$BG$72,S$51,FALSE))</f>
        <v>-</v>
      </c>
      <c r="T56" s="301" t="str">
        <f>IF($C56="","",VLOOKUP($C56,CTPit!$E$10:$BG$72,T$51,FALSE))</f>
        <v>-</v>
      </c>
      <c r="U56" s="301" t="str">
        <f>IF($C56="","",VLOOKUP($C56,CTPit!$E$10:$BG$72,U$51,FALSE))</f>
        <v>-</v>
      </c>
      <c r="V56" s="301" t="str">
        <f>IF($C56="","",VLOOKUP($C56,CTPit!$E$10:$BG$72,V$51,FALSE))</f>
        <v>-</v>
      </c>
      <c r="W56" s="301" t="str">
        <f>IF($C56="","",VLOOKUP($C56,CTPit!$E$10:$BG$72,W$51,FALSE))</f>
        <v>-</v>
      </c>
      <c r="X56" s="301" t="str">
        <f>IF($C56="","",VLOOKUP($C56,CTPit!$E$10:$BG$72,X$51,FALSE))</f>
        <v>-</v>
      </c>
      <c r="Y56" s="302" t="str">
        <f>IF($C56="","",VLOOKUP($C56,CTPit!$E$10:$BG$72,Y$51,FALSE))</f>
        <v>-</v>
      </c>
      <c r="Z56" s="53" t="str">
        <f>IF($C56="","",VLOOKUP($C56,CTPit!$E$10:$BG$72,Z$51,FALSE))</f>
        <v>93-95 Mph</v>
      </c>
      <c r="AA56" s="301">
        <f>IF($C56="","",VLOOKUP($C56,CTPit!$E$10:$BG$72,AA$51,FALSE))</f>
        <v>9</v>
      </c>
      <c r="AB56" s="80">
        <f>IF($C56="","",VLOOKUP($C56,CTPit!$E$10:$BG$72,AB$51,FALSE))</f>
        <v>0.38</v>
      </c>
      <c r="AC56" s="67">
        <f>IF($C56="","",VLOOKUP($C56,CTPit!$E$10:$BG$72,AC$51,FALSE))</f>
        <v>6.25</v>
      </c>
      <c r="AD56" s="301">
        <f>IF($C56="","",VLOOKUP($C56,CTPit!$E$10:$BG$72,AD$51,FALSE))</f>
        <v>8</v>
      </c>
      <c r="AE56" s="301">
        <f>IF($C56="","",VLOOKUP($C56,CTPit!$E$10:$BG$72,AE$51,FALSE))</f>
        <v>5</v>
      </c>
      <c r="AF56" s="302">
        <f>IF($C56="","",VLOOKUP($C56,CTPit!$E$10:$BG$72,AF$51,FALSE))</f>
        <v>5</v>
      </c>
      <c r="AG56" s="67">
        <f>IF($C56="","",VLOOKUP($C56,CTPit!$E$10:$BG$72,AG$51,FALSE))</f>
        <v>6.25</v>
      </c>
    </row>
    <row r="57" spans="1:33">
      <c r="A57" s="301">
        <v>5</v>
      </c>
      <c r="B57" s="36" t="s">
        <v>108</v>
      </c>
      <c r="C57" s="65" t="s">
        <v>489</v>
      </c>
      <c r="D57" s="37">
        <f>IF($C57="","",VLOOKUP($C57,CTPit!$E$10:$BG$214,D$1,FALSE))</f>
        <v>28</v>
      </c>
      <c r="E57" s="38" t="str">
        <f>IF($C57="","",VLOOKUP($C57,CTPit!$E$10:$BG$214,E$1+1,FALSE))</f>
        <v>R</v>
      </c>
      <c r="F57" s="301">
        <f t="shared" si="96"/>
        <v>0</v>
      </c>
      <c r="G57" s="301">
        <f t="shared" si="97"/>
        <v>0</v>
      </c>
      <c r="H57" s="301">
        <f t="shared" si="98"/>
        <v>1</v>
      </c>
      <c r="I57" s="99" t="str">
        <f>IF($C57="","",VLOOKUP($C57,CTPit!$E$10:$BG$72,I$51,FALSE))</f>
        <v>R</v>
      </c>
      <c r="J57" s="77">
        <f t="shared" si="99"/>
        <v>3</v>
      </c>
      <c r="K57" s="301">
        <f>IF($C57="","",VLOOKUP($C57,CTPit!$E$10:$BG$72,K$51,FALSE))</f>
        <v>8</v>
      </c>
      <c r="L57" s="301">
        <f>IF($C57="","",VLOOKUP($C57,CTPit!$E$10:$BG$72,L$51,FALSE))</f>
        <v>6</v>
      </c>
      <c r="M57" s="302">
        <f>IF($C57="","",VLOOKUP($C57,CTPit!$E$10:$BG$72,M$51,FALSE))</f>
        <v>5</v>
      </c>
      <c r="N57" s="301">
        <f>IF($C57="","",VLOOKUP($C57,CTPit!$E$10:$BG$72,N$51,FALSE))</f>
        <v>6</v>
      </c>
      <c r="O57" s="301">
        <f>IF($C57="","",VLOOKUP($C57,CTPit!$E$10:$BG$72,O$51,FALSE))</f>
        <v>10</v>
      </c>
      <c r="P57" s="301" t="str">
        <f>IF($C57="","",VLOOKUP($C57,CTPit!$E$10:$BG$72,P$51,FALSE))</f>
        <v>-</v>
      </c>
      <c r="Q57" s="301">
        <f>IF($C57="","",VLOOKUP($C57,CTPit!$E$10:$BG$72,Q$51,FALSE))</f>
        <v>6</v>
      </c>
      <c r="R57" s="301" t="str">
        <f>IF($C57="","",VLOOKUP($C57,CTPit!$E$10:$BG$72,R$51,FALSE))</f>
        <v>-</v>
      </c>
      <c r="S57" s="301" t="str">
        <f>IF($C57="","",VLOOKUP($C57,CTPit!$E$10:$BG$72,S$51,FALSE))</f>
        <v>-</v>
      </c>
      <c r="T57" s="301" t="str">
        <f>IF($C57="","",VLOOKUP($C57,CTPit!$E$10:$BG$72,T$51,FALSE))</f>
        <v>-</v>
      </c>
      <c r="U57" s="301" t="str">
        <f>IF($C57="","",VLOOKUP($C57,CTPit!$E$10:$BG$72,U$51,FALSE))</f>
        <v>-</v>
      </c>
      <c r="V57" s="301" t="str">
        <f>IF($C57="","",VLOOKUP($C57,CTPit!$E$10:$BG$72,V$51,FALSE))</f>
        <v>-</v>
      </c>
      <c r="W57" s="301" t="str">
        <f>IF($C57="","",VLOOKUP($C57,CTPit!$E$10:$BG$72,W$51,FALSE))</f>
        <v>-</v>
      </c>
      <c r="X57" s="301" t="str">
        <f>IF($C57="","",VLOOKUP($C57,CTPit!$E$10:$BG$72,X$51,FALSE))</f>
        <v>-</v>
      </c>
      <c r="Y57" s="302" t="str">
        <f>IF($C57="","",VLOOKUP($C57,CTPit!$E$10:$BG$72,Y$51,FALSE))</f>
        <v>-</v>
      </c>
      <c r="Z57" s="53" t="str">
        <f>IF($C57="","",VLOOKUP($C57,CTPit!$E$10:$BG$72,Z$51,FALSE))</f>
        <v>92-94 Mph</v>
      </c>
      <c r="AA57" s="301">
        <f>IF($C57="","",VLOOKUP($C57,CTPit!$E$10:$BG$72,AA$51,FALSE))</f>
        <v>6</v>
      </c>
      <c r="AB57" s="80">
        <f>IF($C57="","",VLOOKUP($C57,CTPit!$E$10:$BG$72,AB$51,FALSE))</f>
        <v>0.57999999999999996</v>
      </c>
      <c r="AC57" s="67">
        <f>IF($C57="","",VLOOKUP($C57,CTPit!$E$10:$BG$72,AC$51,FALSE))</f>
        <v>6.833333333333333</v>
      </c>
      <c r="AD57" s="301">
        <f>IF($C57="","",VLOOKUP($C57,CTPit!$E$10:$BG$72,AD$51,FALSE))</f>
        <v>8</v>
      </c>
      <c r="AE57" s="301">
        <f>IF($C57="","",VLOOKUP($C57,CTPit!$E$10:$BG$72,AE$51,FALSE))</f>
        <v>6</v>
      </c>
      <c r="AF57" s="302">
        <f>IF($C57="","",VLOOKUP($C57,CTPit!$E$10:$BG$72,AF$51,FALSE))</f>
        <v>5</v>
      </c>
      <c r="AG57" s="67">
        <f>IF($C57="","",VLOOKUP($C57,CTPit!$E$10:$BG$72,AG$51,FALSE))</f>
        <v>6.833333333333333</v>
      </c>
    </row>
    <row r="58" spans="1:33">
      <c r="A58" s="301">
        <v>6</v>
      </c>
      <c r="B58" s="39" t="s">
        <v>127</v>
      </c>
      <c r="C58" s="299"/>
      <c r="D58" s="40" t="str">
        <f>IF($C58="","",VLOOKUP($C58,CTPit!$E$10:$BG$214,D$1,FALSE))</f>
        <v/>
      </c>
      <c r="E58" s="42" t="str">
        <f>IF($C58="","",VLOOKUP($C58,CTPit!$E$10:$BG$214,E$1+1,FALSE))</f>
        <v/>
      </c>
      <c r="F58" s="299" t="str">
        <f t="shared" si="96"/>
        <v/>
      </c>
      <c r="G58" s="299" t="str">
        <f t="shared" si="97"/>
        <v/>
      </c>
      <c r="H58" s="299" t="str">
        <f t="shared" si="98"/>
        <v/>
      </c>
      <c r="I58" s="100" t="str">
        <f>IF($C58="","",VLOOKUP($C58,CTPit!$E$10:$BG$72,I$51,FALSE))</f>
        <v/>
      </c>
      <c r="J58" s="78" t="str">
        <f t="shared" si="99"/>
        <v/>
      </c>
      <c r="K58" s="299" t="str">
        <f>IF($C58="","",VLOOKUP($C58,CTPit!$E$10:$BG$72,K$51,FALSE))</f>
        <v/>
      </c>
      <c r="L58" s="299" t="str">
        <f>IF($C58="","",VLOOKUP($C58,CTPit!$E$10:$BG$72,L$51,FALSE))</f>
        <v/>
      </c>
      <c r="M58" s="300" t="str">
        <f>IF($C58="","",VLOOKUP($C58,CTPit!$E$10:$BG$72,M$51,FALSE))</f>
        <v/>
      </c>
      <c r="N58" s="299" t="str">
        <f>IF($C58="","",VLOOKUP($C58,CTPit!$E$10:$BG$72,N$51,FALSE))</f>
        <v/>
      </c>
      <c r="O58" s="299" t="str">
        <f>IF($C58="","",VLOOKUP($C58,CTPit!$E$10:$BG$72,O$51,FALSE))</f>
        <v/>
      </c>
      <c r="P58" s="299" t="str">
        <f>IF($C58="","",VLOOKUP($C58,CTPit!$E$10:$BG$72,P$51,FALSE))</f>
        <v/>
      </c>
      <c r="Q58" s="299" t="str">
        <f>IF($C58="","",VLOOKUP($C58,CTPit!$E$10:$BG$72,Q$51,FALSE))</f>
        <v/>
      </c>
      <c r="R58" s="299" t="str">
        <f>IF($C58="","",VLOOKUP($C58,CTPit!$E$10:$BG$72,R$51,FALSE))</f>
        <v/>
      </c>
      <c r="S58" s="299" t="str">
        <f>IF($C58="","",VLOOKUP($C58,CTPit!$E$10:$BG$72,S$51,FALSE))</f>
        <v/>
      </c>
      <c r="T58" s="299" t="str">
        <f>IF($C58="","",VLOOKUP($C58,CTPit!$E$10:$BG$72,T$51,FALSE))</f>
        <v/>
      </c>
      <c r="U58" s="299" t="str">
        <f>IF($C58="","",VLOOKUP($C58,CTPit!$E$10:$BG$72,U$51,FALSE))</f>
        <v/>
      </c>
      <c r="V58" s="299" t="str">
        <f>IF($C58="","",VLOOKUP($C58,CTPit!$E$10:$BG$72,V$51,FALSE))</f>
        <v/>
      </c>
      <c r="W58" s="299" t="str">
        <f>IF($C58="","",VLOOKUP($C58,CTPit!$E$10:$BG$72,W$51,FALSE))</f>
        <v/>
      </c>
      <c r="X58" s="299" t="str">
        <f>IF($C58="","",VLOOKUP($C58,CTPit!$E$10:$BG$72,X$51,FALSE))</f>
        <v/>
      </c>
      <c r="Y58" s="300" t="str">
        <f>IF($C58="","",VLOOKUP($C58,CTPit!$E$10:$BG$72,Y$51,FALSE))</f>
        <v/>
      </c>
      <c r="Z58" s="54" t="str">
        <f>IF($C58="","",VLOOKUP($C58,CTPit!$E$10:$BG$72,Z$51,FALSE))</f>
        <v/>
      </c>
      <c r="AA58" s="299" t="str">
        <f>IF($C58="","",VLOOKUP($C58,CTPit!$E$10:$BG$72,AA$51,FALSE))</f>
        <v/>
      </c>
      <c r="AB58" s="81" t="str">
        <f>IF($C58="","",VLOOKUP($C58,CTPit!$E$10:$BG$72,AB$51,FALSE))</f>
        <v/>
      </c>
      <c r="AC58" s="68" t="str">
        <f>IF($C58="","",VLOOKUP($C58,CTPit!$E$10:$BG$72,AC$51,FALSE))</f>
        <v/>
      </c>
      <c r="AD58" s="299" t="str">
        <f>IF($C58="","",VLOOKUP($C58,CTPit!$E$10:$BG$72,AD$51,FALSE))</f>
        <v/>
      </c>
      <c r="AE58" s="299" t="str">
        <f>IF($C58="","",VLOOKUP($C58,CTPit!$E$10:$BG$72,AE$51,FALSE))</f>
        <v/>
      </c>
      <c r="AF58" s="300" t="str">
        <f>IF($C58="","",VLOOKUP($C58,CTPit!$E$10:$BG$72,AF$51,FALSE))</f>
        <v/>
      </c>
      <c r="AG58" s="68" t="str">
        <f>IF($C58="","",VLOOKUP($C58,CTPit!$E$10:$BG$72,AG$51,FALSE))</f>
        <v/>
      </c>
    </row>
    <row r="59" spans="1:33">
      <c r="Z59" s="301"/>
      <c r="AA59" s="301"/>
      <c r="AB59" s="301"/>
    </row>
    <row r="60" spans="1:33" ht="57">
      <c r="A60" s="25" t="s">
        <v>193</v>
      </c>
      <c r="B60" s="296" t="s">
        <v>128</v>
      </c>
      <c r="C60" s="44" t="s">
        <v>118</v>
      </c>
      <c r="D60" s="44" t="s">
        <v>91</v>
      </c>
      <c r="E60" s="44" t="s">
        <v>102</v>
      </c>
      <c r="F60" s="55" t="s">
        <v>190</v>
      </c>
      <c r="G60" s="47" t="s">
        <v>191</v>
      </c>
      <c r="H60" s="56" t="s">
        <v>192</v>
      </c>
      <c r="I60" s="76" t="s">
        <v>212</v>
      </c>
      <c r="J60" s="47" t="s">
        <v>189</v>
      </c>
      <c r="K60" s="79" t="s">
        <v>186</v>
      </c>
      <c r="L60" s="74" t="s">
        <v>187</v>
      </c>
      <c r="M60" s="75" t="s">
        <v>188</v>
      </c>
      <c r="N60" s="74" t="s">
        <v>60</v>
      </c>
      <c r="O60" s="74" t="s">
        <v>62</v>
      </c>
      <c r="P60" s="74" t="s">
        <v>64</v>
      </c>
      <c r="Q60" s="74" t="s">
        <v>66</v>
      </c>
      <c r="R60" s="74" t="s">
        <v>68</v>
      </c>
      <c r="S60" s="74" t="s">
        <v>108</v>
      </c>
      <c r="T60" s="74" t="s">
        <v>71</v>
      </c>
      <c r="U60" s="74" t="s">
        <v>73</v>
      </c>
      <c r="V60" s="74" t="s">
        <v>75</v>
      </c>
      <c r="W60" s="74" t="s">
        <v>77</v>
      </c>
      <c r="X60" s="74" t="s">
        <v>79</v>
      </c>
      <c r="Y60" s="75" t="s">
        <v>81</v>
      </c>
      <c r="Z60" s="79" t="s">
        <v>199</v>
      </c>
      <c r="AA60" s="74" t="s">
        <v>198</v>
      </c>
      <c r="AB60" s="75" t="s">
        <v>200</v>
      </c>
      <c r="AC60" s="288" t="s">
        <v>537</v>
      </c>
      <c r="AD60" s="74" t="s">
        <v>186</v>
      </c>
      <c r="AE60" s="74" t="s">
        <v>187</v>
      </c>
      <c r="AF60" s="75" t="s">
        <v>188</v>
      </c>
      <c r="AG60" s="288" t="s">
        <v>197</v>
      </c>
    </row>
    <row r="61" spans="1:33">
      <c r="A61">
        <v>1</v>
      </c>
      <c r="B61" s="36" t="s">
        <v>109</v>
      </c>
      <c r="C61" s="37" t="s">
        <v>16</v>
      </c>
      <c r="D61" s="37">
        <f>IF($C61="","",VLOOKUP($C61,CTPit!$E$10:$BG$214,D$1,FALSE))</f>
        <v>27</v>
      </c>
      <c r="E61" s="37" t="str">
        <f>IF($C61="","",VLOOKUP($C61,CTPit!$E$10:$BG$214,E$1+1,FALSE))</f>
        <v>R</v>
      </c>
      <c r="F61" s="53">
        <f>IF($C61="","",IF(AVERAGE(K61:M61)&gt;7,1,0))</f>
        <v>0</v>
      </c>
      <c r="G61" s="301">
        <f>IF($C61="","",IF(AVERAGE(K61:M61)&gt;6.5,1,0))</f>
        <v>1</v>
      </c>
      <c r="H61" s="302">
        <f>IF($C61="","",IF(AVERAGE(K61:M61)&gt;6,1,0))</f>
        <v>1</v>
      </c>
      <c r="I61" s="98" t="str">
        <f>IF($C61="","",VLOOKUP($C61,CTPit!$E$10:$BG$72,I$51,FALSE))</f>
        <v>R</v>
      </c>
      <c r="J61" s="301">
        <f>IF($C61="","",COUNT(N61:Y61))</f>
        <v>2</v>
      </c>
      <c r="K61" s="53">
        <f>IF($C61="","",VLOOKUP($C61,CTPit!$E$10:$BG$72,K$51,FALSE))</f>
        <v>8</v>
      </c>
      <c r="L61" s="301">
        <f>IF($C61="","",VLOOKUP($C61,CTPit!$E$10:$BG$72,L$51,FALSE))</f>
        <v>6</v>
      </c>
      <c r="M61" s="302">
        <f>IF($C61="","",VLOOKUP($C61,CTPit!$E$10:$BG$72,M$51,FALSE))</f>
        <v>6</v>
      </c>
      <c r="N61" s="301">
        <f>IF($C61="","",VLOOKUP($C61,CTPit!$E$10:$BG$72,N$51,FALSE))</f>
        <v>8</v>
      </c>
      <c r="O61" s="301" t="str">
        <f>IF($C61="","",VLOOKUP($C61,CTPit!$E$10:$BG$72,O$51,FALSE))</f>
        <v>-</v>
      </c>
      <c r="P61" s="301" t="str">
        <f>IF($C61="","",VLOOKUP($C61,CTPit!$E$10:$BG$72,P$51,FALSE))</f>
        <v>-</v>
      </c>
      <c r="Q61" s="301">
        <f>IF($C61="","",VLOOKUP($C61,CTPit!$E$10:$BG$72,Q$51,FALSE))</f>
        <v>8</v>
      </c>
      <c r="R61" s="301" t="str">
        <f>IF($C61="","",VLOOKUP($C61,CTPit!$E$10:$BG$72,R$51,FALSE))</f>
        <v>-</v>
      </c>
      <c r="S61" s="301" t="str">
        <f>IF($C61="","",VLOOKUP($C61,CTPit!$E$10:$BG$72,S$51,FALSE))</f>
        <v>-</v>
      </c>
      <c r="T61" s="301" t="str">
        <f>IF($C61="","",VLOOKUP($C61,CTPit!$E$10:$BG$72,T$51,FALSE))</f>
        <v>-</v>
      </c>
      <c r="U61" s="301" t="str">
        <f>IF($C61="","",VLOOKUP($C61,CTPit!$E$10:$BG$72,U$51,FALSE))</f>
        <v>-</v>
      </c>
      <c r="V61" s="301" t="str">
        <f>IF($C61="","",VLOOKUP($C61,CTPit!$E$10:$BG$72,V$51,FALSE))</f>
        <v>-</v>
      </c>
      <c r="W61" s="301" t="str">
        <f>IF($C61="","",VLOOKUP($C61,CTPit!$E$10:$BG$72,W$51,FALSE))</f>
        <v>-</v>
      </c>
      <c r="X61" s="301" t="str">
        <f>IF($C61="","",VLOOKUP($C61,CTPit!$E$10:$BG$72,X$51,FALSE))</f>
        <v>-</v>
      </c>
      <c r="Y61" s="302" t="str">
        <f>IF($C61="","",VLOOKUP($C61,CTPit!$E$10:$BG$72,Y$51,FALSE))</f>
        <v>-</v>
      </c>
      <c r="Z61" s="53" t="str">
        <f>IF($C61="","",VLOOKUP($C61,CTPit!$E$10:$BG$72,Z$51,FALSE))</f>
        <v>95-97 Mph</v>
      </c>
      <c r="AA61" s="301">
        <f>IF($C61="","",VLOOKUP($C61,CTPit!$E$10:$BG$72,AA$51,FALSE))</f>
        <v>3</v>
      </c>
      <c r="AB61" s="80">
        <f>IF($C61="","",VLOOKUP($C61,CTPit!$E$10:$BG$72,AB$51,FALSE))</f>
        <v>0.37</v>
      </c>
      <c r="AC61" s="289">
        <f>IF($C61="","",VLOOKUP($C61,CTPit!$E$10:$BG$72,AC$51,FALSE))</f>
        <v>6.916666666666667</v>
      </c>
      <c r="AD61" s="301">
        <f>IF($C61="","",VLOOKUP($C61,CTPit!$E$10:$BG$72,AD$51,FALSE))</f>
        <v>8</v>
      </c>
      <c r="AE61" s="301">
        <f>IF($C61="","",VLOOKUP($C61,CTPit!$E$10:$BG$72,AE$51,FALSE))</f>
        <v>6</v>
      </c>
      <c r="AF61" s="302">
        <f>IF($C61="","",VLOOKUP($C61,CTPit!$E$10:$BG$72,AF$51,FALSE))</f>
        <v>6</v>
      </c>
      <c r="AG61" s="289">
        <f>IF($C61="","",VLOOKUP($C61,CTPit!$E$10:$BG$72,AG$51,FALSE))</f>
        <v>6.916666666666667</v>
      </c>
    </row>
    <row r="62" spans="1:33">
      <c r="A62">
        <v>2</v>
      </c>
      <c r="B62" s="39" t="s">
        <v>129</v>
      </c>
      <c r="C62" s="40" t="s">
        <v>49</v>
      </c>
      <c r="D62" s="40">
        <f>IF($C62="","",VLOOKUP($C62,CTPit!$E$10:$BG$214,D$1,FALSE))</f>
        <v>29</v>
      </c>
      <c r="E62" s="40" t="str">
        <f>IF($C62="","",VLOOKUP($C62,CTPit!$E$10:$BG$214,E$1+1,FALSE))</f>
        <v>L</v>
      </c>
      <c r="F62" s="54">
        <f>IF($C62="","",IF(AVERAGE(K62:M62)&gt;7,1,0))</f>
        <v>0</v>
      </c>
      <c r="G62" s="299">
        <f>IF($C62="","",IF(AVERAGE(K62:M62)&gt;6.5,1,0))</f>
        <v>0</v>
      </c>
      <c r="H62" s="300">
        <f>IF($C62="","",IF(AVERAGE(K62:M62)&gt;6,1,0))</f>
        <v>0</v>
      </c>
      <c r="I62" s="100" t="str">
        <f>IF($C62="","",VLOOKUP($C62,CTPit!$E$10:$BG$72,I$51,FALSE))</f>
        <v>L</v>
      </c>
      <c r="J62" s="299">
        <f>IF($C62="","",COUNT(N62:Y62))</f>
        <v>3</v>
      </c>
      <c r="K62" s="54">
        <f>IF($C62="","",VLOOKUP($C62,CTPit!$E$10:$BG$72,K$51,FALSE))</f>
        <v>9</v>
      </c>
      <c r="L62" s="299">
        <f>IF($C62="","",VLOOKUP($C62,CTPit!$E$10:$BG$72,L$51,FALSE))</f>
        <v>5</v>
      </c>
      <c r="M62" s="300">
        <f>IF($C62="","",VLOOKUP($C62,CTPit!$E$10:$BG$72,M$51,FALSE))</f>
        <v>4</v>
      </c>
      <c r="N62" s="299">
        <f>IF($C62="","",VLOOKUP($C62,CTPit!$E$10:$BG$72,N$51,FALSE))</f>
        <v>9</v>
      </c>
      <c r="O62" s="299">
        <f>IF($C62="","",VLOOKUP($C62,CTPit!$E$10:$BG$72,O$51,FALSE))</f>
        <v>7</v>
      </c>
      <c r="P62" s="299" t="str">
        <f>IF($C62="","",VLOOKUP($C62,CTPit!$E$10:$BG$72,P$51,FALSE))</f>
        <v>-</v>
      </c>
      <c r="Q62" s="299" t="str">
        <f>IF($C62="","",VLOOKUP($C62,CTPit!$E$10:$BG$72,Q$51,FALSE))</f>
        <v>-</v>
      </c>
      <c r="R62" s="299" t="str">
        <f>IF($C62="","",VLOOKUP($C62,CTPit!$E$10:$BG$72,R$51,FALSE))</f>
        <v>-</v>
      </c>
      <c r="S62" s="299" t="str">
        <f>IF($C62="","",VLOOKUP($C62,CTPit!$E$10:$BG$72,S$51,FALSE))</f>
        <v>-</v>
      </c>
      <c r="T62" s="299" t="str">
        <f>IF($C62="","",VLOOKUP($C62,CTPit!$E$10:$BG$72,T$51,FALSE))</f>
        <v>-</v>
      </c>
      <c r="U62" s="299" t="str">
        <f>IF($C62="","",VLOOKUP($C62,CTPit!$E$10:$BG$72,U$51,FALSE))</f>
        <v>-</v>
      </c>
      <c r="V62" s="299" t="str">
        <f>IF($C62="","",VLOOKUP($C62,CTPit!$E$10:$BG$72,V$51,FALSE))</f>
        <v>-</v>
      </c>
      <c r="W62" s="299">
        <f>IF($C62="","",VLOOKUP($C62,CTPit!$E$10:$BG$72,W$51,FALSE))</f>
        <v>4</v>
      </c>
      <c r="X62" s="299" t="str">
        <f>IF($C62="","",VLOOKUP($C62,CTPit!$E$10:$BG$72,X$51,FALSE))</f>
        <v>-</v>
      </c>
      <c r="Y62" s="300" t="str">
        <f>IF($C62="","",VLOOKUP($C62,CTPit!$E$10:$BG$72,Y$51,FALSE))</f>
        <v>-</v>
      </c>
      <c r="Z62" s="54" t="str">
        <f>IF($C62="","",VLOOKUP($C62,CTPit!$E$10:$BG$72,Z$51,FALSE))</f>
        <v>97-99 Mph</v>
      </c>
      <c r="AA62" s="299">
        <f>IF($C62="","",VLOOKUP($C62,CTPit!$E$10:$BG$72,AA$51,FALSE))</f>
        <v>2</v>
      </c>
      <c r="AB62" s="81">
        <f>IF($C62="","",VLOOKUP($C62,CTPit!$E$10:$BG$72,AB$51,FALSE))</f>
        <v>0.53</v>
      </c>
      <c r="AC62" s="68">
        <f>IF($C62="","",VLOOKUP($C62,CTPit!$E$10:$BG$72,AC$51,FALSE))</f>
        <v>6.25</v>
      </c>
      <c r="AD62" s="299">
        <f>IF($C62="","",VLOOKUP($C62,CTPit!$E$10:$BG$72,AD$51,FALSE))</f>
        <v>9</v>
      </c>
      <c r="AE62" s="299">
        <f>IF($C62="","",VLOOKUP($C62,CTPit!$E$10:$BG$72,AE$51,FALSE))</f>
        <v>5</v>
      </c>
      <c r="AF62" s="300">
        <f>IF($C62="","",VLOOKUP($C62,CTPit!$E$10:$BG$72,AF$51,FALSE))</f>
        <v>4</v>
      </c>
      <c r="AG62" s="68">
        <f>IF($C62="","",VLOOKUP($C62,CTPit!$E$10:$BG$72,AG$51,FALSE))</f>
        <v>6.25</v>
      </c>
    </row>
    <row r="63" spans="1:33">
      <c r="Z63" s="301"/>
      <c r="AA63" s="301"/>
      <c r="AB63" s="301"/>
    </row>
    <row r="64" spans="1:33" ht="57">
      <c r="A64" s="25" t="s">
        <v>193</v>
      </c>
      <c r="B64" s="296" t="s">
        <v>130</v>
      </c>
      <c r="C64" s="44" t="s">
        <v>118</v>
      </c>
      <c r="D64" s="44" t="s">
        <v>91</v>
      </c>
      <c r="E64" s="44" t="s">
        <v>102</v>
      </c>
      <c r="F64" s="55" t="s">
        <v>190</v>
      </c>
      <c r="G64" s="47" t="s">
        <v>191</v>
      </c>
      <c r="H64" s="56" t="s">
        <v>192</v>
      </c>
      <c r="I64" s="76" t="s">
        <v>212</v>
      </c>
      <c r="J64" s="47" t="s">
        <v>189</v>
      </c>
      <c r="K64" s="79" t="s">
        <v>186</v>
      </c>
      <c r="L64" s="74" t="s">
        <v>187</v>
      </c>
      <c r="M64" s="75" t="s">
        <v>188</v>
      </c>
      <c r="N64" s="74" t="s">
        <v>60</v>
      </c>
      <c r="O64" s="74" t="s">
        <v>62</v>
      </c>
      <c r="P64" s="74" t="s">
        <v>64</v>
      </c>
      <c r="Q64" s="74" t="s">
        <v>66</v>
      </c>
      <c r="R64" s="74" t="s">
        <v>68</v>
      </c>
      <c r="S64" s="74" t="s">
        <v>108</v>
      </c>
      <c r="T64" s="74" t="s">
        <v>71</v>
      </c>
      <c r="U64" s="74" t="s">
        <v>73</v>
      </c>
      <c r="V64" s="74" t="s">
        <v>75</v>
      </c>
      <c r="W64" s="74" t="s">
        <v>77</v>
      </c>
      <c r="X64" s="74" t="s">
        <v>79</v>
      </c>
      <c r="Y64" s="75" t="s">
        <v>81</v>
      </c>
      <c r="Z64" s="79" t="s">
        <v>199</v>
      </c>
      <c r="AA64" s="74" t="s">
        <v>198</v>
      </c>
      <c r="AB64" s="75" t="s">
        <v>200</v>
      </c>
      <c r="AC64" s="288" t="s">
        <v>537</v>
      </c>
      <c r="AD64" s="74" t="s">
        <v>186</v>
      </c>
      <c r="AE64" s="74" t="s">
        <v>187</v>
      </c>
      <c r="AF64" s="75" t="s">
        <v>188</v>
      </c>
      <c r="AG64" s="288" t="s">
        <v>197</v>
      </c>
    </row>
    <row r="65" spans="1:33">
      <c r="A65">
        <v>1</v>
      </c>
      <c r="B65" s="36" t="s">
        <v>131</v>
      </c>
      <c r="C65" s="37" t="s">
        <v>17</v>
      </c>
      <c r="D65" s="37">
        <f>IF($C65="","",VLOOKUP($C65,CTPit!$E$10:$BG$214,D$1,FALSE))</f>
        <v>25</v>
      </c>
      <c r="E65" s="37" t="str">
        <f>IF($C65="","",VLOOKUP($C65,CTPit!$E$10:$BG$214,E$1+1,FALSE))</f>
        <v>L</v>
      </c>
      <c r="F65" s="53">
        <f t="shared" ref="F65:F70" si="100">IF($C65="","",IF(AVERAGE(K65:M65)&gt;7,1,0))</f>
        <v>0</v>
      </c>
      <c r="G65" s="301">
        <f t="shared" ref="G65:G70" si="101">IF($C65="","",IF(AVERAGE(K65:M65)&gt;6.5,1,0))</f>
        <v>1</v>
      </c>
      <c r="H65" s="302">
        <f t="shared" ref="H65:H70" si="102">IF($C65="","",IF(AVERAGE(K65:M65)&gt;6,1,0))</f>
        <v>1</v>
      </c>
      <c r="I65" s="99" t="str">
        <f>IF($C65="","",VLOOKUP($C65,CTPit!$E$10:$BG$72,I$51,FALSE))</f>
        <v>L</v>
      </c>
      <c r="J65" s="301">
        <f t="shared" ref="J65:J70" si="103">IF($C65="","",COUNT(N65:Y65))</f>
        <v>3</v>
      </c>
      <c r="K65" s="53">
        <f>IF($C65="","",VLOOKUP($C65,CTPit!$E$10:$BG$72,K$51,FALSE))</f>
        <v>7</v>
      </c>
      <c r="L65" s="301">
        <f>IF($C65="","",VLOOKUP($C65,CTPit!$E$10:$BG$72,L$51,FALSE))</f>
        <v>7</v>
      </c>
      <c r="M65" s="302">
        <f>IF($C65="","",VLOOKUP($C65,CTPit!$E$10:$BG$72,M$51,FALSE))</f>
        <v>6</v>
      </c>
      <c r="N65" s="301">
        <f>IF($C65="","",VLOOKUP($C65,CTPit!$E$10:$BG$72,N$51,FALSE))</f>
        <v>7</v>
      </c>
      <c r="O65" s="301">
        <f>IF($C65="","",VLOOKUP($C65,CTPit!$E$10:$BG$72,O$51,FALSE))</f>
        <v>3</v>
      </c>
      <c r="P65" s="301" t="str">
        <f>IF($C65="","",VLOOKUP($C65,CTPit!$E$10:$BG$72,P$51,FALSE))</f>
        <v>-</v>
      </c>
      <c r="Q65" s="301" t="str">
        <f>IF($C65="","",VLOOKUP($C65,CTPit!$E$10:$BG$72,Q$51,FALSE))</f>
        <v>-</v>
      </c>
      <c r="R65" s="301" t="str">
        <f>IF($C65="","",VLOOKUP($C65,CTPit!$E$10:$BG$72,R$51,FALSE))</f>
        <v>-</v>
      </c>
      <c r="S65" s="301">
        <f>IF($C65="","",VLOOKUP($C65,CTPit!$E$10:$BG$72,S$51,FALSE))</f>
        <v>7</v>
      </c>
      <c r="T65" s="301" t="str">
        <f>IF($C65="","",VLOOKUP($C65,CTPit!$E$10:$BG$72,T$51,FALSE))</f>
        <v>-</v>
      </c>
      <c r="U65" s="301" t="str">
        <f>IF($C65="","",VLOOKUP($C65,CTPit!$E$10:$BG$72,U$51,FALSE))</f>
        <v>-</v>
      </c>
      <c r="V65" s="301" t="str">
        <f>IF($C65="","",VLOOKUP($C65,CTPit!$E$10:$BG$72,V$51,FALSE))</f>
        <v>-</v>
      </c>
      <c r="W65" s="301" t="str">
        <f>IF($C65="","",VLOOKUP($C65,CTPit!$E$10:$BG$72,W$51,FALSE))</f>
        <v>-</v>
      </c>
      <c r="X65" s="301" t="str">
        <f>IF($C65="","",VLOOKUP($C65,CTPit!$E$10:$BG$72,X$51,FALSE))</f>
        <v>-</v>
      </c>
      <c r="Y65" s="302" t="str">
        <f>IF($C65="","",VLOOKUP($C65,CTPit!$E$10:$BG$72,Y$51,FALSE))</f>
        <v>-</v>
      </c>
      <c r="Z65" s="53" t="str">
        <f>IF($C65="","",VLOOKUP($C65,CTPit!$E$10:$BG$72,Z$51,FALSE))</f>
        <v>93-95 Mph</v>
      </c>
      <c r="AA65" s="301">
        <f>IF($C65="","",VLOOKUP($C65,CTPit!$E$10:$BG$72,AA$51,FALSE))</f>
        <v>1</v>
      </c>
      <c r="AB65" s="80">
        <f>IF($C65="","",VLOOKUP($C65,CTPit!$E$10:$BG$72,AB$51,FALSE))</f>
        <v>0.49</v>
      </c>
      <c r="AC65" s="289">
        <f>IF($C65="","",VLOOKUP($C65,CTPit!$E$10:$BG$72,AC$51,FALSE))</f>
        <v>6.916666666666667</v>
      </c>
      <c r="AD65" s="301">
        <f>IF($C65="","",VLOOKUP($C65,CTPit!$E$10:$BG$72,AD$51,FALSE))</f>
        <v>7</v>
      </c>
      <c r="AE65" s="301">
        <f>IF($C65="","",VLOOKUP($C65,CTPit!$E$10:$BG$72,AE$51,FALSE))</f>
        <v>7</v>
      </c>
      <c r="AF65" s="302">
        <f>IF($C65="","",VLOOKUP($C65,CTPit!$E$10:$BG$72,AF$51,FALSE))</f>
        <v>7</v>
      </c>
      <c r="AG65" s="289">
        <f>IF($C65="","",VLOOKUP($C65,CTPit!$E$10:$BG$72,AG$51,FALSE))</f>
        <v>7.25</v>
      </c>
    </row>
    <row r="66" spans="1:33">
      <c r="A66">
        <v>2</v>
      </c>
      <c r="B66" s="36" t="s">
        <v>132</v>
      </c>
      <c r="C66" s="65" t="s">
        <v>431</v>
      </c>
      <c r="D66" s="37">
        <f>IF($C66="","",VLOOKUP($C66,CTPit!$E$10:$BG$214,D$1,FALSE))</f>
        <v>27</v>
      </c>
      <c r="E66" s="37" t="str">
        <f>IF($C66="","",VLOOKUP($C66,CTPit!$E$10:$BG$214,E$1+1,FALSE))</f>
        <v>R</v>
      </c>
      <c r="F66" s="53">
        <f t="shared" si="100"/>
        <v>0</v>
      </c>
      <c r="G66" s="301">
        <f t="shared" si="101"/>
        <v>0</v>
      </c>
      <c r="H66" s="302">
        <f t="shared" si="102"/>
        <v>1</v>
      </c>
      <c r="I66" s="99" t="str">
        <f>IF($C66="","",VLOOKUP($C66,CTPit!$E$10:$BG$72,I$51,FALSE))</f>
        <v>R</v>
      </c>
      <c r="J66" s="301">
        <f t="shared" si="103"/>
        <v>2</v>
      </c>
      <c r="K66" s="53">
        <f>IF($C66="","",VLOOKUP($C66,CTPit!$E$10:$BG$72,K$51,FALSE))</f>
        <v>4</v>
      </c>
      <c r="L66" s="301">
        <f>IF($C66="","",VLOOKUP($C66,CTPit!$E$10:$BG$72,L$51,FALSE))</f>
        <v>8</v>
      </c>
      <c r="M66" s="302">
        <f>IF($C66="","",VLOOKUP($C66,CTPit!$E$10:$BG$72,M$51,FALSE))</f>
        <v>7</v>
      </c>
      <c r="N66" s="301">
        <f>IF($C66="","",VLOOKUP($C66,CTPit!$E$10:$BG$72,N$51,FALSE))</f>
        <v>5</v>
      </c>
      <c r="O66" s="301" t="str">
        <f>IF($C66="","",VLOOKUP($C66,CTPit!$E$10:$BG$72,O$51,FALSE))</f>
        <v>-</v>
      </c>
      <c r="P66" s="301" t="str">
        <f>IF($C66="","",VLOOKUP($C66,CTPit!$E$10:$BG$72,P$51,FALSE))</f>
        <v>-</v>
      </c>
      <c r="Q66" s="301">
        <f>IF($C66="","",VLOOKUP($C66,CTPit!$E$10:$BG$72,Q$51,FALSE))</f>
        <v>4</v>
      </c>
      <c r="R66" s="301" t="str">
        <f>IF($C66="","",VLOOKUP($C66,CTPit!$E$10:$BG$72,R$51,FALSE))</f>
        <v>-</v>
      </c>
      <c r="S66" s="301" t="str">
        <f>IF($C66="","",VLOOKUP($C66,CTPit!$E$10:$BG$72,S$51,FALSE))</f>
        <v>-</v>
      </c>
      <c r="T66" s="301" t="str">
        <f>IF($C66="","",VLOOKUP($C66,CTPit!$E$10:$BG$72,T$51,FALSE))</f>
        <v>-</v>
      </c>
      <c r="U66" s="301" t="str">
        <f>IF($C66="","",VLOOKUP($C66,CTPit!$E$10:$BG$72,U$51,FALSE))</f>
        <v>-</v>
      </c>
      <c r="V66" s="301" t="str">
        <f>IF($C66="","",VLOOKUP($C66,CTPit!$E$10:$BG$72,V$51,FALSE))</f>
        <v>-</v>
      </c>
      <c r="W66" s="301" t="str">
        <f>IF($C66="","",VLOOKUP($C66,CTPit!$E$10:$BG$72,W$51,FALSE))</f>
        <v>-</v>
      </c>
      <c r="X66" s="301" t="str">
        <f>IF($C66="","",VLOOKUP($C66,CTPit!$E$10:$BG$72,X$51,FALSE))</f>
        <v>-</v>
      </c>
      <c r="Y66" s="302" t="str">
        <f>IF($C66="","",VLOOKUP($C66,CTPit!$E$10:$BG$72,Y$51,FALSE))</f>
        <v>-</v>
      </c>
      <c r="Z66" s="53" t="str">
        <f>IF($C66="","",VLOOKUP($C66,CTPit!$E$10:$BG$72,Z$51,FALSE))</f>
        <v>90-92 Mph</v>
      </c>
      <c r="AA66" s="301">
        <f>IF($C66="","",VLOOKUP($C66,CTPit!$E$10:$BG$72,AA$51,FALSE))</f>
        <v>3</v>
      </c>
      <c r="AB66" s="80">
        <f>IF($C66="","",VLOOKUP($C66,CTPit!$E$10:$BG$72,AB$51,FALSE))</f>
        <v>0.7</v>
      </c>
      <c r="AC66" s="67">
        <f>IF($C66="","",VLOOKUP($C66,CTPit!$E$10:$BG$72,AC$51,FALSE))</f>
        <v>6.583333333333333</v>
      </c>
      <c r="AD66" s="301">
        <f>IF($C66="","",VLOOKUP($C66,CTPit!$E$10:$BG$72,AD$51,FALSE))</f>
        <v>4</v>
      </c>
      <c r="AE66" s="301">
        <f>IF($C66="","",VLOOKUP($C66,CTPit!$E$10:$BG$72,AE$51,FALSE))</f>
        <v>8</v>
      </c>
      <c r="AF66" s="302">
        <f>IF($C66="","",VLOOKUP($C66,CTPit!$E$10:$BG$72,AF$51,FALSE))</f>
        <v>7</v>
      </c>
      <c r="AG66" s="67">
        <f>IF($C66="","",VLOOKUP($C66,CTPit!$E$10:$BG$72,AG$51,FALSE))</f>
        <v>6.583333333333333</v>
      </c>
    </row>
    <row r="67" spans="1:33">
      <c r="A67">
        <v>3</v>
      </c>
      <c r="B67" s="36" t="s">
        <v>19</v>
      </c>
      <c r="C67" s="65" t="s">
        <v>220</v>
      </c>
      <c r="D67" s="37">
        <f>IF($C67="","",VLOOKUP($C67,CTPit!$E$10:$BG$214,D$1,FALSE))</f>
        <v>24</v>
      </c>
      <c r="E67" s="37" t="str">
        <f>IF($C67="","",VLOOKUP($C67,CTPit!$E$10:$BG$214,E$1+1,FALSE))</f>
        <v>R</v>
      </c>
      <c r="F67" s="53">
        <f t="shared" si="100"/>
        <v>0</v>
      </c>
      <c r="G67" s="301">
        <f t="shared" si="101"/>
        <v>1</v>
      </c>
      <c r="H67" s="302">
        <f t="shared" si="102"/>
        <v>1</v>
      </c>
      <c r="I67" s="99" t="str">
        <f>IF($C67="","",VLOOKUP($C67,CTPit!$E$10:$BG$72,I$51,FALSE))</f>
        <v>R</v>
      </c>
      <c r="J67" s="301">
        <f t="shared" si="103"/>
        <v>4</v>
      </c>
      <c r="K67" s="53">
        <f>IF($C67="","",VLOOKUP($C67,CTPit!$E$10:$BG$72,K$51,FALSE))</f>
        <v>9</v>
      </c>
      <c r="L67" s="301">
        <f>IF($C67="","",VLOOKUP($C67,CTPit!$E$10:$BG$72,L$51,FALSE))</f>
        <v>6</v>
      </c>
      <c r="M67" s="302">
        <f>IF($C67="","",VLOOKUP($C67,CTPit!$E$10:$BG$72,M$51,FALSE))</f>
        <v>5</v>
      </c>
      <c r="N67" s="301">
        <f>IF($C67="","",VLOOKUP($C67,CTPit!$E$10:$BG$72,N$51,FALSE))</f>
        <v>8</v>
      </c>
      <c r="O67" s="301">
        <f>IF($C67="","",VLOOKUP($C67,CTPit!$E$10:$BG$72,O$51,FALSE))</f>
        <v>3</v>
      </c>
      <c r="P67" s="301" t="str">
        <f>IF($C67="","",VLOOKUP($C67,CTPit!$E$10:$BG$72,P$51,FALSE))</f>
        <v>-</v>
      </c>
      <c r="Q67" s="301">
        <f>IF($C67="","",VLOOKUP($C67,CTPit!$E$10:$BG$72,Q$51,FALSE))</f>
        <v>5</v>
      </c>
      <c r="R67" s="301">
        <f>IF($C67="","",VLOOKUP($C67,CTPit!$E$10:$BG$72,R$51,FALSE))</f>
        <v>6</v>
      </c>
      <c r="S67" s="301" t="str">
        <f>IF($C67="","",VLOOKUP($C67,CTPit!$E$10:$BG$72,S$51,FALSE))</f>
        <v>-</v>
      </c>
      <c r="T67" s="301" t="str">
        <f>IF($C67="","",VLOOKUP($C67,CTPit!$E$10:$BG$72,T$51,FALSE))</f>
        <v>-</v>
      </c>
      <c r="U67" s="301" t="str">
        <f>IF($C67="","",VLOOKUP($C67,CTPit!$E$10:$BG$72,U$51,FALSE))</f>
        <v>-</v>
      </c>
      <c r="V67" s="301" t="str">
        <f>IF($C67="","",VLOOKUP($C67,CTPit!$E$10:$BG$72,V$51,FALSE))</f>
        <v>-</v>
      </c>
      <c r="W67" s="301" t="str">
        <f>IF($C67="","",VLOOKUP($C67,CTPit!$E$10:$BG$72,W$51,FALSE))</f>
        <v>-</v>
      </c>
      <c r="X67" s="301" t="str">
        <f>IF($C67="","",VLOOKUP($C67,CTPit!$E$10:$BG$72,X$51,FALSE))</f>
        <v>-</v>
      </c>
      <c r="Y67" s="302" t="str">
        <f>IF($C67="","",VLOOKUP($C67,CTPit!$E$10:$BG$72,Y$51,FALSE))</f>
        <v>-</v>
      </c>
      <c r="Z67" s="53" t="str">
        <f>IF($C67="","",VLOOKUP($C67,CTPit!$E$10:$BG$72,Z$51,FALSE))</f>
        <v>99-101 Mph</v>
      </c>
      <c r="AA67" s="301">
        <f>IF($C67="","",VLOOKUP($C67,CTPit!$E$10:$BG$72,AA$51,FALSE))</f>
        <v>9</v>
      </c>
      <c r="AB67" s="80">
        <f>IF($C67="","",VLOOKUP($C67,CTPit!$E$10:$BG$72,AB$51,FALSE))</f>
        <v>0.56999999999999995</v>
      </c>
      <c r="AC67" s="67">
        <f>IF($C67="","",VLOOKUP($C67,CTPit!$E$10:$BG$72,AC$51,FALSE))</f>
        <v>7.416666666666667</v>
      </c>
      <c r="AD67" s="301">
        <f>IF($C67="","",VLOOKUP($C67,CTPit!$E$10:$BG$72,AD$51,FALSE))</f>
        <v>9</v>
      </c>
      <c r="AE67" s="301">
        <f>IF($C67="","",VLOOKUP($C67,CTPit!$E$10:$BG$72,AE$51,FALSE))</f>
        <v>6</v>
      </c>
      <c r="AF67" s="302">
        <f>IF($C67="","",VLOOKUP($C67,CTPit!$E$10:$BG$72,AF$51,FALSE))</f>
        <v>5</v>
      </c>
      <c r="AG67" s="67">
        <f>IF($C67="","",VLOOKUP($C67,CTPit!$E$10:$BG$72,AG$51,FALSE))</f>
        <v>7.416666666666667</v>
      </c>
    </row>
    <row r="68" spans="1:33">
      <c r="A68">
        <v>4</v>
      </c>
      <c r="B68" s="36" t="s">
        <v>19</v>
      </c>
      <c r="C68" s="65" t="s">
        <v>520</v>
      </c>
      <c r="D68" s="37">
        <f>IF($C68="","",VLOOKUP($C68,CTPit!$E$10:$BG$214,D$1,FALSE))</f>
        <v>29</v>
      </c>
      <c r="E68" s="37" t="str">
        <f>IF($C68="","",VLOOKUP($C68,CTPit!$E$10:$BG$214,E$1+1,FALSE))</f>
        <v>R</v>
      </c>
      <c r="F68" s="53">
        <f t="shared" si="100"/>
        <v>0</v>
      </c>
      <c r="G68" s="301">
        <f t="shared" si="101"/>
        <v>1</v>
      </c>
      <c r="H68" s="302">
        <f t="shared" si="102"/>
        <v>1</v>
      </c>
      <c r="I68" s="99" t="str">
        <f>IF($C68="","",VLOOKUP($C68,CTPit!$E$10:$BG$72,I$51,FALSE))</f>
        <v>R</v>
      </c>
      <c r="J68" s="301">
        <f t="shared" si="103"/>
        <v>3</v>
      </c>
      <c r="K68" s="53">
        <f>IF($C68="","",VLOOKUP($C68,CTPit!$E$10:$BG$72,K$51,FALSE))</f>
        <v>5</v>
      </c>
      <c r="L68" s="301">
        <f>IF($C68="","",VLOOKUP($C68,CTPit!$E$10:$BG$72,L$51,FALSE))</f>
        <v>8</v>
      </c>
      <c r="M68" s="302">
        <f>IF($C68="","",VLOOKUP($C68,CTPit!$E$10:$BG$72,M$51,FALSE))</f>
        <v>7</v>
      </c>
      <c r="N68" s="301">
        <f>IF($C68="","",VLOOKUP($C68,CTPit!$E$10:$BG$72,N$51,FALSE))</f>
        <v>4</v>
      </c>
      <c r="O68" s="301" t="str">
        <f>IF($C68="","",VLOOKUP($C68,CTPit!$E$10:$BG$72,O$51,FALSE))</f>
        <v>-</v>
      </c>
      <c r="P68" s="301" t="str">
        <f>IF($C68="","",VLOOKUP($C68,CTPit!$E$10:$BG$72,P$51,FALSE))</f>
        <v>-</v>
      </c>
      <c r="Q68" s="301">
        <f>IF($C68="","",VLOOKUP($C68,CTPit!$E$10:$BG$72,Q$51,FALSE))</f>
        <v>5</v>
      </c>
      <c r="R68" s="301" t="str">
        <f>IF($C68="","",VLOOKUP($C68,CTPit!$E$10:$BG$72,R$51,FALSE))</f>
        <v>-</v>
      </c>
      <c r="S68" s="301">
        <f>IF($C68="","",VLOOKUP($C68,CTPit!$E$10:$BG$72,S$51,FALSE))</f>
        <v>5</v>
      </c>
      <c r="T68" s="301" t="str">
        <f>IF($C68="","",VLOOKUP($C68,CTPit!$E$10:$BG$72,T$51,FALSE))</f>
        <v>-</v>
      </c>
      <c r="U68" s="301" t="str">
        <f>IF($C68="","",VLOOKUP($C68,CTPit!$E$10:$BG$72,U$51,FALSE))</f>
        <v>-</v>
      </c>
      <c r="V68" s="301" t="str">
        <f>IF($C68="","",VLOOKUP($C68,CTPit!$E$10:$BG$72,V$51,FALSE))</f>
        <v>-</v>
      </c>
      <c r="W68" s="301" t="str">
        <f>IF($C68="","",VLOOKUP($C68,CTPit!$E$10:$BG$72,W$51,FALSE))</f>
        <v>-</v>
      </c>
      <c r="X68" s="301" t="str">
        <f>IF($C68="","",VLOOKUP($C68,CTPit!$E$10:$BG$72,X$51,FALSE))</f>
        <v>-</v>
      </c>
      <c r="Y68" s="302" t="str">
        <f>IF($C68="","",VLOOKUP($C68,CTPit!$E$10:$BG$72,Y$51,FALSE))</f>
        <v>-</v>
      </c>
      <c r="Z68" s="53" t="str">
        <f>IF($C68="","",VLOOKUP($C68,CTPit!$E$10:$BG$72,Z$51,FALSE))</f>
        <v>87-89 Mph</v>
      </c>
      <c r="AA68" s="301">
        <f>IF($C68="","",VLOOKUP($C68,CTPit!$E$10:$BG$72,AA$51,FALSE))</f>
        <v>7</v>
      </c>
      <c r="AB68" s="80">
        <f>IF($C68="","",VLOOKUP($C68,CTPit!$E$10:$BG$72,AB$51,FALSE))</f>
        <v>0.59</v>
      </c>
      <c r="AC68" s="67">
        <f>IF($C68="","",VLOOKUP($C68,CTPit!$E$10:$BG$72,AC$51,FALSE))</f>
        <v>6.916666666666667</v>
      </c>
      <c r="AD68" s="301">
        <f>IF($C68="","",VLOOKUP($C68,CTPit!$E$10:$BG$72,AD$51,FALSE))</f>
        <v>5</v>
      </c>
      <c r="AE68" s="301">
        <f>IF($C68="","",VLOOKUP($C68,CTPit!$E$10:$BG$72,AE$51,FALSE))</f>
        <v>8</v>
      </c>
      <c r="AF68" s="302">
        <f>IF($C68="","",VLOOKUP($C68,CTPit!$E$10:$BG$72,AF$51,FALSE))</f>
        <v>7</v>
      </c>
      <c r="AG68" s="67">
        <f>IF($C68="","",VLOOKUP($C68,CTPit!$E$10:$BG$72,AG$51,FALSE))</f>
        <v>6.916666666666667</v>
      </c>
    </row>
    <row r="69" spans="1:33">
      <c r="A69">
        <v>5</v>
      </c>
      <c r="B69" s="36" t="s">
        <v>19</v>
      </c>
      <c r="C69" s="65" t="s">
        <v>414</v>
      </c>
      <c r="D69" s="37">
        <f>IF($C69="","",VLOOKUP($C69,CTPit!$E$10:$BG$214,D$1,FALSE))</f>
        <v>23</v>
      </c>
      <c r="E69" s="37" t="str">
        <f>IF($C69="","",VLOOKUP($C69,CTPit!$E$10:$BG$214,E$1+1,FALSE))</f>
        <v>L</v>
      </c>
      <c r="F69" s="53">
        <f t="shared" si="100"/>
        <v>0</v>
      </c>
      <c r="G69" s="301">
        <f t="shared" si="101"/>
        <v>0</v>
      </c>
      <c r="H69" s="302">
        <f t="shared" si="102"/>
        <v>0</v>
      </c>
      <c r="I69" s="99" t="str">
        <f>IF($C69="","",VLOOKUP($C69,CTPit!$E$10:$BG$72,I$51,FALSE))</f>
        <v>L</v>
      </c>
      <c r="J69" s="301">
        <f t="shared" si="103"/>
        <v>3</v>
      </c>
      <c r="K69" s="53">
        <f>IF($C69="","",VLOOKUP($C69,CTPit!$E$10:$BG$72,K$51,FALSE))</f>
        <v>9</v>
      </c>
      <c r="L69" s="301">
        <f>IF($C69="","",VLOOKUP($C69,CTPit!$E$10:$BG$72,L$51,FALSE))</f>
        <v>6</v>
      </c>
      <c r="M69" s="302">
        <f>IF($C69="","",VLOOKUP($C69,CTPit!$E$10:$BG$72,M$51,FALSE))</f>
        <v>2</v>
      </c>
      <c r="N69" s="301">
        <f>IF($C69="","",VLOOKUP($C69,CTPit!$E$10:$BG$72,N$51,FALSE))</f>
        <v>9</v>
      </c>
      <c r="O69" s="301">
        <f>IF($C69="","",VLOOKUP($C69,CTPit!$E$10:$BG$72,O$51,FALSE))</f>
        <v>4</v>
      </c>
      <c r="P69" s="301" t="str">
        <f>IF($C69="","",VLOOKUP($C69,CTPit!$E$10:$BG$72,P$51,FALSE))</f>
        <v>-</v>
      </c>
      <c r="Q69" s="301">
        <f>IF($C69="","",VLOOKUP($C69,CTPit!$E$10:$BG$72,Q$51,FALSE))</f>
        <v>6</v>
      </c>
      <c r="R69" s="301" t="str">
        <f>IF($C69="","",VLOOKUP($C69,CTPit!$E$10:$BG$72,R$51,FALSE))</f>
        <v>-</v>
      </c>
      <c r="S69" s="301" t="str">
        <f>IF($C69="","",VLOOKUP($C69,CTPit!$E$10:$BG$72,S$51,FALSE))</f>
        <v>-</v>
      </c>
      <c r="T69" s="301" t="str">
        <f>IF($C69="","",VLOOKUP($C69,CTPit!$E$10:$BG$72,T$51,FALSE))</f>
        <v>-</v>
      </c>
      <c r="U69" s="301" t="str">
        <f>IF($C69="","",VLOOKUP($C69,CTPit!$E$10:$BG$72,U$51,FALSE))</f>
        <v>-</v>
      </c>
      <c r="V69" s="301" t="str">
        <f>IF($C69="","",VLOOKUP($C69,CTPit!$E$10:$BG$72,V$51,FALSE))</f>
        <v>-</v>
      </c>
      <c r="W69" s="301" t="str">
        <f>IF($C69="","",VLOOKUP($C69,CTPit!$E$10:$BG$72,W$51,FALSE))</f>
        <v>-</v>
      </c>
      <c r="X69" s="301" t="str">
        <f>IF($C69="","",VLOOKUP($C69,CTPit!$E$10:$BG$72,X$51,FALSE))</f>
        <v>-</v>
      </c>
      <c r="Y69" s="302" t="str">
        <f>IF($C69="","",VLOOKUP($C69,CTPit!$E$10:$BG$72,Y$51,FALSE))</f>
        <v>-</v>
      </c>
      <c r="Z69" s="53" t="str">
        <f>IF($C69="","",VLOOKUP($C69,CTPit!$E$10:$BG$72,Z$51,FALSE))</f>
        <v>99-101 Mph</v>
      </c>
      <c r="AA69" s="301">
        <f>IF($C69="","",VLOOKUP($C69,CTPit!$E$10:$BG$72,AA$51,FALSE))</f>
        <v>9</v>
      </c>
      <c r="AB69" s="80">
        <f>IF($C69="","",VLOOKUP($C69,CTPit!$E$10:$BG$72,AB$51,FALSE))</f>
        <v>0.6</v>
      </c>
      <c r="AC69" s="67">
        <f>IF($C69="","",VLOOKUP($C69,CTPit!$E$10:$BG$72,AC$51,FALSE))</f>
        <v>6.166666666666667</v>
      </c>
      <c r="AD69" s="301">
        <f>IF($C69="","",VLOOKUP($C69,CTPit!$E$10:$BG$72,AD$51,FALSE))</f>
        <v>9</v>
      </c>
      <c r="AE69" s="301">
        <f>IF($C69="","",VLOOKUP($C69,CTPit!$E$10:$BG$72,AE$51,FALSE))</f>
        <v>6</v>
      </c>
      <c r="AF69" s="302">
        <f>IF($C69="","",VLOOKUP($C69,CTPit!$E$10:$BG$72,AF$51,FALSE))</f>
        <v>2</v>
      </c>
      <c r="AG69" s="67">
        <f>IF($C69="","",VLOOKUP($C69,CTPit!$E$10:$BG$72,AG$51,FALSE))</f>
        <v>6.166666666666667</v>
      </c>
    </row>
    <row r="70" spans="1:33">
      <c r="A70">
        <v>6</v>
      </c>
      <c r="B70" s="39" t="s">
        <v>19</v>
      </c>
      <c r="C70" s="40"/>
      <c r="D70" s="40" t="str">
        <f>IF($C70="","",VLOOKUP($C70,CTPit!$E$10:$BG$214,D$1,FALSE))</f>
        <v/>
      </c>
      <c r="E70" s="40" t="str">
        <f>IF($C70="","",VLOOKUP($C70,CTPit!$E$10:$BG$214,E$1+1,FALSE))</f>
        <v/>
      </c>
      <c r="F70" s="54" t="str">
        <f t="shared" si="100"/>
        <v/>
      </c>
      <c r="G70" s="299" t="str">
        <f t="shared" si="101"/>
        <v/>
      </c>
      <c r="H70" s="300" t="str">
        <f t="shared" si="102"/>
        <v/>
      </c>
      <c r="I70" s="100" t="str">
        <f>IF($C70="","",VLOOKUP($C70,CTPit!$E$10:$BG$72,I$51,FALSE))</f>
        <v/>
      </c>
      <c r="J70" s="299" t="str">
        <f t="shared" si="103"/>
        <v/>
      </c>
      <c r="K70" s="54" t="str">
        <f>IF($C70="","",VLOOKUP($C70,CTPit!$E$10:$BG$72,K$51,FALSE))</f>
        <v/>
      </c>
      <c r="L70" s="299" t="str">
        <f>IF($C70="","",VLOOKUP($C70,CTPit!$E$10:$BG$72,L$51,FALSE))</f>
        <v/>
      </c>
      <c r="M70" s="300" t="str">
        <f>IF($C70="","",VLOOKUP($C70,CTPit!$E$10:$BG$72,M$51,FALSE))</f>
        <v/>
      </c>
      <c r="N70" s="299" t="str">
        <f>IF($C70="","",VLOOKUP($C70,CTPit!$E$10:$BG$72,N$51,FALSE))</f>
        <v/>
      </c>
      <c r="O70" s="299" t="str">
        <f>IF($C70="","",VLOOKUP($C70,CTPit!$E$10:$BG$72,O$51,FALSE))</f>
        <v/>
      </c>
      <c r="P70" s="299" t="str">
        <f>IF($C70="","",VLOOKUP($C70,CTPit!$E$10:$BG$72,P$51,FALSE))</f>
        <v/>
      </c>
      <c r="Q70" s="299" t="str">
        <f>IF($C70="","",VLOOKUP($C70,CTPit!$E$10:$BG$72,Q$51,FALSE))</f>
        <v/>
      </c>
      <c r="R70" s="299" t="str">
        <f>IF($C70="","",VLOOKUP($C70,CTPit!$E$10:$BG$72,R$51,FALSE))</f>
        <v/>
      </c>
      <c r="S70" s="299" t="str">
        <f>IF($C70="","",VLOOKUP($C70,CTPit!$E$10:$BG$72,S$51,FALSE))</f>
        <v/>
      </c>
      <c r="T70" s="299" t="str">
        <f>IF($C70="","",VLOOKUP($C70,CTPit!$E$10:$BG$72,T$51,FALSE))</f>
        <v/>
      </c>
      <c r="U70" s="299" t="str">
        <f>IF($C70="","",VLOOKUP($C70,CTPit!$E$10:$BG$72,U$51,FALSE))</f>
        <v/>
      </c>
      <c r="V70" s="299" t="str">
        <f>IF($C70="","",VLOOKUP($C70,CTPit!$E$10:$BG$72,V$51,FALSE))</f>
        <v/>
      </c>
      <c r="W70" s="299" t="str">
        <f>IF($C70="","",VLOOKUP($C70,CTPit!$E$10:$BG$72,W$51,FALSE))</f>
        <v/>
      </c>
      <c r="X70" s="299" t="str">
        <f>IF($C70="","",VLOOKUP($C70,CTPit!$E$10:$BG$72,X$51,FALSE))</f>
        <v/>
      </c>
      <c r="Y70" s="300" t="str">
        <f>IF($C70="","",VLOOKUP($C70,CTPit!$E$10:$BG$72,Y$51,FALSE))</f>
        <v/>
      </c>
      <c r="Z70" s="54" t="str">
        <f>IF($C70="","",VLOOKUP($C70,CTPit!$E$10:$BG$72,Z$51,FALSE))</f>
        <v/>
      </c>
      <c r="AA70" s="299" t="str">
        <f>IF($C70="","",VLOOKUP($C70,CTPit!$E$10:$BG$72,AA$51,FALSE))</f>
        <v/>
      </c>
      <c r="AB70" s="81" t="str">
        <f>IF($C70="","",VLOOKUP($C70,CTPit!$E$10:$BG$72,AB$51,FALSE))</f>
        <v/>
      </c>
      <c r="AC70" s="68" t="str">
        <f>IF($C70="","",VLOOKUP($C70,CTPit!$E$10:$BG$72,AC$51,FALSE))</f>
        <v/>
      </c>
      <c r="AD70" s="299" t="str">
        <f>IF($C70="","",VLOOKUP($C70,CTPit!$E$10:$BG$72,AD$51,FALSE))</f>
        <v/>
      </c>
      <c r="AE70" s="299" t="str">
        <f>IF($C70="","",VLOOKUP($C70,CTPit!$E$10:$BG$72,AE$51,FALSE))</f>
        <v/>
      </c>
      <c r="AF70" s="300" t="str">
        <f>IF($C70="","",VLOOKUP($C70,CTPit!$E$10:$BG$72,AF$51,FALSE))</f>
        <v/>
      </c>
      <c r="AG70" s="68" t="str">
        <f>IF($C70="","",VLOOKUP($C70,CTPit!$E$10:$BG$72,AG$51,FALSE))</f>
        <v/>
      </c>
    </row>
  </sheetData>
  <mergeCells count="6">
    <mergeCell ref="AH31:AT31"/>
    <mergeCell ref="AG26:AT26"/>
    <mergeCell ref="AH27:AT27"/>
    <mergeCell ref="AH28:AT28"/>
    <mergeCell ref="AH29:AT29"/>
    <mergeCell ref="AH30:AT30"/>
  </mergeCells>
  <conditionalFormatting sqref="G13">
    <cfRule type="expression" dxfId="137" priority="15">
      <formula>IF(SUM(G14:G19)&gt;1,1,0)</formula>
    </cfRule>
  </conditionalFormatting>
  <conditionalFormatting sqref="H13">
    <cfRule type="expression" dxfId="136" priority="14">
      <formula>IF(SUM(H14:H19)&gt;1,1,0)</formula>
    </cfRule>
  </conditionalFormatting>
  <conditionalFormatting sqref="F13">
    <cfRule type="expression" dxfId="135" priority="13">
      <formula>IF(SUM(F14:F19)&gt;1,1,0)</formula>
    </cfRule>
  </conditionalFormatting>
  <conditionalFormatting sqref="I2">
    <cfRule type="expression" dxfId="134" priority="12">
      <formula>-IF(SUM(I3:I11)&gt;1,1,0)</formula>
    </cfRule>
  </conditionalFormatting>
  <conditionalFormatting sqref="H2">
    <cfRule type="expression" dxfId="133" priority="11">
      <formula>-IF(SUM(H3:H11)&gt;1,1,0)</formula>
    </cfRule>
  </conditionalFormatting>
  <conditionalFormatting sqref="F21">
    <cfRule type="expression" dxfId="132" priority="10">
      <formula>IF(SUM($F$22:$F$24)&gt;1,1,0)</formula>
    </cfRule>
  </conditionalFormatting>
  <conditionalFormatting sqref="F52">
    <cfRule type="expression" dxfId="131" priority="9">
      <formula>IF(SUM($F$53:$F$58)&gt;1,1,0)</formula>
    </cfRule>
  </conditionalFormatting>
  <conditionalFormatting sqref="H52">
    <cfRule type="expression" dxfId="130" priority="8">
      <formula>IF(SUM($H$53:$H$58)&gt;3,1,0)</formula>
    </cfRule>
  </conditionalFormatting>
  <conditionalFormatting sqref="G52">
    <cfRule type="expression" dxfId="129" priority="7">
      <formula>IF(SUM($G$53:$G$58)&gt;2,1,0)</formula>
    </cfRule>
  </conditionalFormatting>
  <conditionalFormatting sqref="C22:C24 C14:C19 C3:C11">
    <cfRule type="expression" dxfId="128" priority="5">
      <formula>IF($AK3&lt;4.5,1,0)</formula>
    </cfRule>
    <cfRule type="expression" dxfId="127" priority="6">
      <formula>IF($AK3&gt;7,1,0)</formula>
    </cfRule>
  </conditionalFormatting>
  <conditionalFormatting sqref="C15">
    <cfRule type="expression" dxfId="126" priority="3">
      <formula>IF($AK15&lt;4.5,1,0)</formula>
    </cfRule>
    <cfRule type="expression" dxfId="125" priority="4">
      <formula>IF($AK15&gt;7,1,0)</formula>
    </cfRule>
  </conditionalFormatting>
  <conditionalFormatting sqref="F2">
    <cfRule type="expression" dxfId="124" priority="2">
      <formula>IF(SUM(F3:F11)&gt;1,1,0)</formula>
    </cfRule>
  </conditionalFormatting>
  <conditionalFormatting sqref="G2">
    <cfRule type="expression" dxfId="123" priority="1">
      <formula>IF(SUM(G3:G11)&gt;1,1,0)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published="0" codeName="Sheet13">
    <tabColor theme="2" tint="-0.499984740745262"/>
  </sheetPr>
  <dimension ref="A1:BA59"/>
  <sheetViews>
    <sheetView topLeftCell="A10" zoomScale="85" zoomScaleNormal="85" workbookViewId="0">
      <selection activeCell="D15" sqref="D15"/>
    </sheetView>
  </sheetViews>
  <sheetFormatPr defaultRowHeight="15"/>
  <cols>
    <col min="1" max="1" width="2" bestFit="1" customWidth="1"/>
    <col min="2" max="2" width="6.85546875" style="255" bestFit="1" customWidth="1"/>
    <col min="3" max="3" width="10.7109375" style="1" bestFit="1" customWidth="1"/>
    <col min="4" max="4" width="20" style="26" bestFit="1" customWidth="1"/>
    <col min="5" max="5" width="4.42578125" style="26" bestFit="1" customWidth="1"/>
    <col min="6" max="6" width="4.42578125" style="26" customWidth="1"/>
    <col min="7" max="7" width="4.42578125" bestFit="1" customWidth="1"/>
    <col min="8" max="8" width="3.7109375" bestFit="1" customWidth="1"/>
    <col min="9" max="9" width="4.7109375" bestFit="1" customWidth="1"/>
    <col min="10" max="10" width="4.28515625" customWidth="1"/>
    <col min="11" max="13" width="3.7109375" customWidth="1"/>
    <col min="14" max="17" width="3.7109375" bestFit="1" customWidth="1"/>
    <col min="18" max="18" width="4.28515625" bestFit="1" customWidth="1"/>
    <col min="19" max="19" width="4.7109375" bestFit="1" customWidth="1"/>
    <col min="20" max="22" width="3.7109375" bestFit="1" customWidth="1"/>
    <col min="23" max="23" width="4.28515625" bestFit="1" customWidth="1"/>
    <col min="24" max="24" width="4.7109375" bestFit="1" customWidth="1"/>
    <col min="25" max="25" width="4.28515625" customWidth="1"/>
    <col min="26" max="26" width="4.28515625" bestFit="1" customWidth="1"/>
    <col min="27" max="27" width="10.42578125" bestFit="1" customWidth="1"/>
    <col min="28" max="28" width="4.28515625" bestFit="1" customWidth="1"/>
    <col min="29" max="29" width="4.7109375" bestFit="1" customWidth="1"/>
    <col min="30" max="37" width="3.7109375" bestFit="1" customWidth="1"/>
    <col min="38" max="38" width="4.5703125" bestFit="1" customWidth="1"/>
    <col min="39" max="52" width="3.7109375" bestFit="1" customWidth="1"/>
    <col min="53" max="53" width="4.5703125" bestFit="1" customWidth="1"/>
  </cols>
  <sheetData>
    <row r="1" spans="1:53">
      <c r="E1" s="26">
        <v>4</v>
      </c>
      <c r="F1" s="26">
        <v>5</v>
      </c>
      <c r="K1">
        <v>23</v>
      </c>
      <c r="L1">
        <v>21</v>
      </c>
      <c r="M1">
        <v>22</v>
      </c>
      <c r="N1">
        <v>24</v>
      </c>
      <c r="O1">
        <v>25</v>
      </c>
      <c r="P1">
        <v>26</v>
      </c>
      <c r="Q1">
        <v>27</v>
      </c>
      <c r="R1">
        <v>28</v>
      </c>
      <c r="S1">
        <v>29</v>
      </c>
      <c r="T1">
        <v>30</v>
      </c>
      <c r="U1">
        <v>31</v>
      </c>
      <c r="AE1">
        <v>11</v>
      </c>
      <c r="AF1">
        <v>12</v>
      </c>
      <c r="AG1">
        <v>13</v>
      </c>
      <c r="AH1">
        <v>14</v>
      </c>
      <c r="AI1">
        <v>15</v>
      </c>
      <c r="AJ1">
        <v>32</v>
      </c>
      <c r="AK1">
        <v>33</v>
      </c>
      <c r="AV1">
        <v>16</v>
      </c>
      <c r="AW1">
        <v>17</v>
      </c>
      <c r="AX1">
        <v>18</v>
      </c>
      <c r="AY1">
        <v>19</v>
      </c>
      <c r="AZ1">
        <v>20</v>
      </c>
    </row>
    <row r="2" spans="1:53" s="24" customFormat="1" ht="215.25">
      <c r="A2" s="25" t="s">
        <v>193</v>
      </c>
      <c r="B2" s="256" t="s">
        <v>485</v>
      </c>
      <c r="C2" s="241" t="s">
        <v>124</v>
      </c>
      <c r="D2" s="44" t="str">
        <f>"Player ("&amp;COUNTA(D3:D11)&amp;")"</f>
        <v>Player (4)</v>
      </c>
      <c r="E2" s="44" t="s">
        <v>91</v>
      </c>
      <c r="F2" s="44" t="s">
        <v>101</v>
      </c>
      <c r="G2" s="51" t="e">
        <f>"Only 1 guy who plays only 1B ("&amp;SUM(G3:G11)&amp;")"</f>
        <v>#N/A</v>
      </c>
      <c r="H2" s="45" t="e">
        <f>"Only 1 guy who can only play 1B or LF ("&amp;SUM(H3:H11)&amp;")"</f>
        <v>#N/A</v>
      </c>
      <c r="I2" s="46" t="e">
        <f>"2 guys with RF arms ("&amp;SUM(I3:I11)&amp;")"</f>
        <v>#N/A</v>
      </c>
      <c r="J2" s="46" t="e">
        <f>"2 guys with CF range ("&amp;SUM(J3:J11)&amp;")"</f>
        <v>#N/A</v>
      </c>
      <c r="K2" s="55" t="s">
        <v>136</v>
      </c>
      <c r="L2" s="47" t="s">
        <v>134</v>
      </c>
      <c r="M2" s="56" t="s">
        <v>135</v>
      </c>
      <c r="N2" s="48" t="s">
        <v>92</v>
      </c>
      <c r="O2" s="48" t="s">
        <v>94</v>
      </c>
      <c r="P2" s="48" t="s">
        <v>95</v>
      </c>
      <c r="Q2" s="48" t="s">
        <v>96</v>
      </c>
      <c r="R2" s="48" t="s">
        <v>97</v>
      </c>
      <c r="S2" s="48" t="s">
        <v>98</v>
      </c>
      <c r="T2" s="48" t="s">
        <v>99</v>
      </c>
      <c r="U2" s="49" t="s">
        <v>100</v>
      </c>
      <c r="V2" s="51" t="s">
        <v>137</v>
      </c>
      <c r="W2" s="45" t="s">
        <v>181</v>
      </c>
      <c r="X2" s="45" t="s">
        <v>138</v>
      </c>
      <c r="Y2" s="45" t="s">
        <v>154</v>
      </c>
      <c r="Z2" s="45" t="s">
        <v>153</v>
      </c>
      <c r="AA2" s="45" t="s">
        <v>141</v>
      </c>
      <c r="AB2" s="45" t="s">
        <v>142</v>
      </c>
      <c r="AC2" s="45" t="s">
        <v>159</v>
      </c>
      <c r="AD2" s="60" t="s">
        <v>143</v>
      </c>
      <c r="AE2" s="48" t="s">
        <v>147</v>
      </c>
      <c r="AF2" s="48" t="s">
        <v>148</v>
      </c>
      <c r="AG2" s="48" t="s">
        <v>149</v>
      </c>
      <c r="AH2" s="48" t="s">
        <v>150</v>
      </c>
      <c r="AI2" s="48" t="s">
        <v>29</v>
      </c>
      <c r="AJ2" s="63" t="s">
        <v>151</v>
      </c>
      <c r="AK2" s="49" t="s">
        <v>152</v>
      </c>
      <c r="AL2" s="66" t="s">
        <v>157</v>
      </c>
      <c r="AM2" s="51" t="s">
        <v>137</v>
      </c>
      <c r="AN2" s="45" t="s">
        <v>181</v>
      </c>
      <c r="AO2" s="45" t="s">
        <v>138</v>
      </c>
      <c r="AP2" s="45" t="s">
        <v>154</v>
      </c>
      <c r="AQ2" s="45" t="s">
        <v>153</v>
      </c>
      <c r="AR2" s="45" t="s">
        <v>141</v>
      </c>
      <c r="AS2" s="45" t="s">
        <v>142</v>
      </c>
      <c r="AT2" s="45" t="s">
        <v>159</v>
      </c>
      <c r="AU2" s="60" t="s">
        <v>143</v>
      </c>
      <c r="AV2" s="63" t="s">
        <v>147</v>
      </c>
      <c r="AW2" s="48" t="s">
        <v>148</v>
      </c>
      <c r="AX2" s="48" t="s">
        <v>149</v>
      </c>
      <c r="AY2" s="48" t="s">
        <v>150</v>
      </c>
      <c r="AZ2" s="49" t="s">
        <v>29</v>
      </c>
      <c r="BA2" s="66" t="s">
        <v>197</v>
      </c>
    </row>
    <row r="3" spans="1:53">
      <c r="A3">
        <v>1</v>
      </c>
      <c r="B3" s="262">
        <v>2019</v>
      </c>
      <c r="C3" s="32" t="s">
        <v>94</v>
      </c>
      <c r="D3" s="37" t="s">
        <v>440</v>
      </c>
      <c r="E3" s="33">
        <f>IF($D3="","",VLOOKUP($D3,CTBat!$G$10:$BR$203,E$1,FALSE))</f>
        <v>23</v>
      </c>
      <c r="F3" s="33" t="str">
        <f>IF($D3="","",VLOOKUP($D3,CTBat!$G$10:$BR$203,F$1,FALSE))</f>
        <v>R</v>
      </c>
      <c r="G3" s="52">
        <f>IF($D3="","",IF(AND(O3&gt;0,O3=SUM(N3:U3)),1,0))</f>
        <v>1</v>
      </c>
      <c r="H3" s="34">
        <f>IF($D3="","",IF(AND(OR(O3&gt;0,S3&gt;0),SUM(O3,S3)=SUM(N3:U3)),1,0))</f>
        <v>1</v>
      </c>
      <c r="I3" s="34">
        <f>IF($D3="","",IF(M3&gt;6,1,0))</f>
        <v>0</v>
      </c>
      <c r="J3" s="34">
        <f t="shared" ref="J3:J7" si="0">IF($D3="","",IF(AND(T3&gt;4,T3&lt;&gt;"-"),1,0))</f>
        <v>0</v>
      </c>
      <c r="K3" s="57">
        <f>IF($D3="","",VLOOKUP($D3,CTBat!$G$10:$BR$203,K$1,FALSE))</f>
        <v>1</v>
      </c>
      <c r="L3" s="33">
        <f>IF($D3="","",VLOOKUP($D3,CTBat!$G$10:$BR$203,L$1,FALSE))</f>
        <v>5</v>
      </c>
      <c r="M3" s="35">
        <f>IF($D3="","",VLOOKUP($D3,CTBat!$G$10:$BR$203,M$1,FALSE))</f>
        <v>3</v>
      </c>
      <c r="N3" s="33" t="str">
        <f>IF($D3="","",VLOOKUP($D3,CTBat!$G$10:$BR$203,N$1,FALSE))</f>
        <v>-</v>
      </c>
      <c r="O3" s="33">
        <f>IF($D3="","",VLOOKUP($D3,CTBat!$G$10:$BR$203,O$1,FALSE))</f>
        <v>7</v>
      </c>
      <c r="P3" s="33" t="str">
        <f>IF($D3="","",VLOOKUP($D3,CTBat!$G$10:$BR$203,P$1,FALSE))</f>
        <v>-</v>
      </c>
      <c r="Q3" s="33" t="str">
        <f>IF($D3="","",VLOOKUP($D3,CTBat!$G$10:$BR$203,Q$1,FALSE))</f>
        <v>-</v>
      </c>
      <c r="R3" s="33" t="str">
        <f>IF($D3="","",VLOOKUP($D3,CTBat!$G$10:$BR$203,R$1,FALSE))</f>
        <v>-</v>
      </c>
      <c r="S3" s="33" t="str">
        <f>IF($D3="","",VLOOKUP($D3,CTBat!$G$10:$BR$203,S$1,FALSE))</f>
        <v>-</v>
      </c>
      <c r="T3" s="33" t="str">
        <f>IF($D3="","",VLOOKUP($D3,CTBat!$G$10:$BR$203,T$1,FALSE))</f>
        <v>-</v>
      </c>
      <c r="U3" s="35" t="str">
        <f>IF($D3="","",VLOOKUP($D3,CTBat!$G$10:$BR$203,U$1,FALSE))</f>
        <v>-</v>
      </c>
      <c r="V3" s="53">
        <f t="shared" ref="V3:V11" si="1">IF($D3="","",IF(OR(AE3+AH3&gt;14,AND(OR(AE3+AH3&gt;12,AND(AE3&gt;6,AH3&gt;6)),AJ3&gt;6,OR(AK3&gt;=AJ3,AK3&gt;6))),1,0))</f>
        <v>1</v>
      </c>
      <c r="W3" s="246">
        <f t="shared" ref="W3:W11" si="2">IF($D3="","",IF(OR(AND(AE3&gt;6,AI3&gt;6),AE3+AH3&gt;12),1,0))</f>
        <v>1</v>
      </c>
      <c r="X3" s="34">
        <f>IF($D3="","",IF(AND(AE3&gt;6,AG3&gt;6,AH3&gt;6),1,0))</f>
        <v>0</v>
      </c>
      <c r="Y3" s="34">
        <f>IF($D3="","",IF(AND(AG3&gt;7,OR(AE3&gt;6,AH3&gt;6)),1,0))</f>
        <v>0</v>
      </c>
      <c r="Z3" s="34">
        <f>IF($D3="","",IF(AND(AG3&gt;6,OR(AE3&gt;6,AH3&gt;6)),1,0))</f>
        <v>0</v>
      </c>
      <c r="AA3" s="34">
        <f>IF($D3="","",IF(AND(OR(AE3&gt;6,AG3&gt;6),OR(AE3&gt;6,AH3&gt;6)),1,0))</f>
        <v>1</v>
      </c>
      <c r="AB3" s="34">
        <f>IF($D3="","",IF(AND(AE3&gt;4,OR(AE3&gt;6,AG3&gt;6,AH3&gt;6)),1,0))</f>
        <v>1</v>
      </c>
      <c r="AC3" s="34">
        <f>IF($D3="","",IF(AND(AE3&gt;4,OR(AE3&gt;6,AF3&gt;6,AG3&gt;6,AH3&gt;6)),1,0))</f>
        <v>1</v>
      </c>
      <c r="AD3" s="61">
        <f>IF($D3="","",IF(AND(AE3&gt;4,MAX(AE3:AI3)&gt;6),1,0))</f>
        <v>1</v>
      </c>
      <c r="AE3" s="33">
        <f>IF($D3="","",VLOOKUP($D3,CTBat!$G$10:$BR$203,AE$1,FALSE))</f>
        <v>7</v>
      </c>
      <c r="AF3" s="33">
        <f>IF($D3="","",VLOOKUP($D3,CTBat!$G$10:$BR$203,AF$1,FALSE))</f>
        <v>6</v>
      </c>
      <c r="AG3" s="33">
        <f>IF($D3="","",VLOOKUP($D3,CTBat!$G$10:$BR$203,AG$1,FALSE))</f>
        <v>5</v>
      </c>
      <c r="AH3" s="33">
        <f>IF($D3="","",VLOOKUP($D3,CTBat!$G$10:$BR$203,AH$1,FALSE))</f>
        <v>8</v>
      </c>
      <c r="AI3" s="33">
        <f>IF($D3="","",VLOOKUP($D3,CTBat!$G$10:$BR$203,AI$1,FALSE))</f>
        <v>9</v>
      </c>
      <c r="AJ3" s="57">
        <f>IF($D3="","",VLOOKUP($D3,CTBat!$G$10:$BR$203,AJ$1,FALSE))</f>
        <v>5</v>
      </c>
      <c r="AK3" s="35">
        <f>IF($D3="","",VLOOKUP($D3,CTBat!$G$10:$BR$203,AK$1,FALSE))</f>
        <v>5</v>
      </c>
      <c r="AL3" s="67">
        <f>IF($D3="","",(5*AE3+4*AG3+3*AH3+2*AF3+1*AI3+0.5*(AVERAGE(AE3:AF3))+0.5*AVERAGE(AE3,AI3)+1*(AVERAGE(AE3,AG3))+1*AVERAGE(AE3,AH3))/(5+4+3+2+1+0.5+0.5+1+1))</f>
        <v>6.708333333333333</v>
      </c>
      <c r="AM3" s="52">
        <f>IF($D3="","",IF(AND(OR(AV3+AY3&gt;12,AND(AV3&gt;6,AY3&gt;6)),AJ3&gt;6,OR(AK3&gt;=AJ3,AK3&gt;6)),1,0))</f>
        <v>0</v>
      </c>
      <c r="AN3" s="34">
        <f>IF($D3="","",IF(OR(AND(AV3&gt;6,AZ3&gt;6),AV3+AY3&gt;12),1,0))</f>
        <v>1</v>
      </c>
      <c r="AO3" s="34">
        <f>IF($D3="","",IF(AND(AV3&gt;6,AX3&gt;6,AY3&gt;6),1,0))</f>
        <v>1</v>
      </c>
      <c r="AP3" s="34">
        <f>IF($D3="","",IF(AND(AX3&gt;7,OR(AV3&gt;6,AY3&gt;6)),1,0))</f>
        <v>0</v>
      </c>
      <c r="AQ3" s="34">
        <f>IF($D3="","",IF(AND(AX3&gt;6,OR(AV3&gt;6,AY3&gt;6)),1,0))</f>
        <v>1</v>
      </c>
      <c r="AR3" s="34">
        <f>IF($D3="","",IF(AND(OR(AV3&gt;6,AX3&gt;6),OR(AV3&gt;6,AY3&gt;6)),1,0))</f>
        <v>1</v>
      </c>
      <c r="AS3" s="34">
        <f>IF($D3="","",IF(AND(AV3&gt;4,OR(AV3&gt;6,AX3&gt;6,AY3&gt;6)),1,0))</f>
        <v>1</v>
      </c>
      <c r="AT3" s="34">
        <f>IF($D3="","",IF(AND(AV3&gt;4,OR(AV3&gt;6,AW3&gt;6,AX3&gt;6,AY3&gt;6)),1,0))</f>
        <v>1</v>
      </c>
      <c r="AU3" s="61">
        <f>IF($D3="","",IF(AND(AV3&gt;4,MAX(AV3:AZ3)&gt;6),1,0))</f>
        <v>1</v>
      </c>
      <c r="AV3" s="57">
        <f>IF($D3="","",VLOOKUP($D3,CTBat!$G$10:$BR$203,AV$1,FALSE))</f>
        <v>8</v>
      </c>
      <c r="AW3" s="33">
        <f>IF($D3="","",VLOOKUP($D3,CTBat!$G$10:$BR$203,AW$1,FALSE))</f>
        <v>6</v>
      </c>
      <c r="AX3" s="33">
        <f>IF($D3="","",VLOOKUP($D3,CTBat!$G$10:$BR$203,AX$1,FALSE))</f>
        <v>7</v>
      </c>
      <c r="AY3" s="33">
        <f>IF($D3="","",VLOOKUP($D3,CTBat!$G$10:$BR$203,AY$1,FALSE))</f>
        <v>10</v>
      </c>
      <c r="AZ3" s="35">
        <f>IF($D3="","",VLOOKUP($D3,CTBat!$G$10:$BR$203,AZ$1,FALSE))</f>
        <v>10</v>
      </c>
      <c r="BA3" s="67">
        <f>IF($D3="","",(5*AV3+4*AX3+3*AY3+2*AW3+1*AZ3+0.5*(AVERAGE(AV3:AW3))+0.5*AVERAGE(AV3,AZ3)+1*(AVERAGE(AV3,AX3))+1*AVERAGE(AV3,AY3))/(5+4+3+2+1+0.5+0.5+1+1))</f>
        <v>8.0277777777777786</v>
      </c>
    </row>
    <row r="4" spans="1:53">
      <c r="A4">
        <v>2</v>
      </c>
      <c r="B4" s="263" t="s">
        <v>236</v>
      </c>
      <c r="C4" s="36" t="s">
        <v>98</v>
      </c>
      <c r="D4" s="37" t="s">
        <v>408</v>
      </c>
      <c r="E4" s="37">
        <f>IF($D4="","",VLOOKUP($D4,CTBat!$G$10:$BR$203,E$1,FALSE))</f>
        <v>27</v>
      </c>
      <c r="F4" s="37" t="str">
        <f>IF($D4="","",VLOOKUP($D4,CTBat!$G$10:$BR$203,F$1,FALSE))</f>
        <v>L</v>
      </c>
      <c r="G4" s="53">
        <f t="shared" ref="G4:G11" si="3">IF($D4="","",IF(AND(O4&gt;0,O4=SUM(N4:U4)),1,0))</f>
        <v>0</v>
      </c>
      <c r="H4" s="246">
        <f t="shared" ref="H4:H11" si="4">IF($D4="","",IF(AND(OR(O4&gt;0,S4&gt;0),SUM(O4,S4)=SUM(N4:U4)),1,0))</f>
        <v>0</v>
      </c>
      <c r="I4" s="246">
        <f t="shared" ref="I4:I11" si="5">IF($D4="","",IF(M4&gt;6,1,0))</f>
        <v>0</v>
      </c>
      <c r="J4" s="246">
        <f t="shared" si="0"/>
        <v>1</v>
      </c>
      <c r="K4" s="58">
        <f>IF($D4="","",VLOOKUP($D4,CTBat!$G$10:$BR$203,K$1,FALSE))</f>
        <v>1</v>
      </c>
      <c r="L4" s="37">
        <f>IF($D4="","",VLOOKUP($D4,CTBat!$G$10:$BR$203,L$1,FALSE))</f>
        <v>1</v>
      </c>
      <c r="M4" s="38">
        <f>IF($D4="","",VLOOKUP($D4,CTBat!$G$10:$BR$203,M$1,FALSE))</f>
        <v>4</v>
      </c>
      <c r="N4" s="37" t="str">
        <f>IF($D4="","",VLOOKUP($D4,CTBat!$G$10:$BR$203,N$1,FALSE))</f>
        <v>-</v>
      </c>
      <c r="O4" s="37" t="str">
        <f>IF($D4="","",VLOOKUP($D4,CTBat!$G$10:$BR$203,O$1,FALSE))</f>
        <v>-</v>
      </c>
      <c r="P4" s="37" t="str">
        <f>IF($D4="","",VLOOKUP($D4,CTBat!$G$10:$BR$203,P$1,FALSE))</f>
        <v>-</v>
      </c>
      <c r="Q4" s="37" t="str">
        <f>IF($D4="","",VLOOKUP($D4,CTBat!$G$10:$BR$203,Q$1,FALSE))</f>
        <v>-</v>
      </c>
      <c r="R4" s="37" t="str">
        <f>IF($D4="","",VLOOKUP($D4,CTBat!$G$10:$BR$203,R$1,FALSE))</f>
        <v>-</v>
      </c>
      <c r="S4" s="37">
        <f>IF($D4="","",VLOOKUP($D4,CTBat!$G$10:$BR$203,S$1,FALSE))</f>
        <v>10</v>
      </c>
      <c r="T4" s="37">
        <f>IF($D4="","",VLOOKUP($D4,CTBat!$G$10:$BR$203,T$1,FALSE))</f>
        <v>7</v>
      </c>
      <c r="U4" s="38">
        <f>IF($D4="","",VLOOKUP($D4,CTBat!$G$10:$BR$203,U$1,FALSE))</f>
        <v>7</v>
      </c>
      <c r="V4" s="53">
        <f t="shared" si="1"/>
        <v>1</v>
      </c>
      <c r="W4" s="246">
        <f t="shared" si="2"/>
        <v>1</v>
      </c>
      <c r="X4" s="246">
        <f t="shared" ref="X4:X11" si="6">IF($D4="","",IF(AND(AE4&gt;6,AG4&gt;6,AH4&gt;6),1,0))</f>
        <v>0</v>
      </c>
      <c r="Y4" s="246">
        <f t="shared" ref="Y4:Y11" si="7">IF($D4="","",IF(AND(AG4&gt;7,OR(AE4&gt;6,AH4&gt;6)),1,0))</f>
        <v>0</v>
      </c>
      <c r="Z4" s="246">
        <f t="shared" ref="Z4:Z11" si="8">IF($D4="","",IF(AND(AG4&gt;6,OR(AE4&gt;6,AH4&gt;6)),1,0))</f>
        <v>1</v>
      </c>
      <c r="AA4" s="246">
        <f t="shared" ref="AA4:AA11" si="9">IF($D4="","",IF(AND(OR(AE4&gt;6,AG4&gt;6),OR(AE4&gt;6,AH4&gt;6)),1,0))</f>
        <v>1</v>
      </c>
      <c r="AB4" s="246">
        <f t="shared" ref="AB4:AB11" si="10">IF($D4="","",IF(AND(AE4&gt;4,OR(AE4&gt;6,AG4&gt;6,AH4&gt;6)),1,0))</f>
        <v>1</v>
      </c>
      <c r="AC4" s="246">
        <f t="shared" ref="AC4:AC11" si="11">IF($D4="","",IF(AND(AE4&gt;4,OR(AE4&gt;6,AF4&gt;6,AG4&gt;6,AH4&gt;6)),1,0))</f>
        <v>1</v>
      </c>
      <c r="AD4" s="247">
        <f t="shared" ref="AD4:AD11" si="12">IF($D4="","",IF(AND(AE4&gt;4,MAX(AE4:AI4)&gt;6),1,0))</f>
        <v>1</v>
      </c>
      <c r="AE4" s="37">
        <f>IF($D4="","",VLOOKUP($D4,CTBat!$G$10:$BR$203,AE$1,FALSE))</f>
        <v>8</v>
      </c>
      <c r="AF4" s="37">
        <f>IF($D4="","",VLOOKUP($D4,CTBat!$G$10:$BR$203,AF$1,FALSE))</f>
        <v>7</v>
      </c>
      <c r="AG4" s="37">
        <f>IF($D4="","",VLOOKUP($D4,CTBat!$G$10:$BR$203,AG$1,FALSE))</f>
        <v>7</v>
      </c>
      <c r="AH4" s="37">
        <f>IF($D4="","",VLOOKUP($D4,CTBat!$G$10:$BR$203,AH$1,FALSE))</f>
        <v>6</v>
      </c>
      <c r="AI4" s="37">
        <f>IF($D4="","",VLOOKUP($D4,CTBat!$G$10:$BR$203,AI$1,FALSE))</f>
        <v>9</v>
      </c>
      <c r="AJ4" s="58">
        <f>IF($D4="","",VLOOKUP($D4,CTBat!$G$10:$BR$203,AJ$1,FALSE))</f>
        <v>7</v>
      </c>
      <c r="AK4" s="38">
        <f>IF($D4="","",VLOOKUP($D4,CTBat!$G$10:$BR$203,AK$1,FALSE))</f>
        <v>10</v>
      </c>
      <c r="AL4" s="67">
        <f t="shared" ref="AL4:AL11" si="13">IF($D4="","",(5*AE4+4*AG4+3*AH4+2*AF4+1*AI4+0.5*(AVERAGE(AE4:AF4))+0.5*AVERAGE(AE4,AI4)+1*(AVERAGE(AE4,AG4))+1*AVERAGE(AE4,AH4))/(5+4+3+2+1+0.5+0.5+1+1))</f>
        <v>7.3055555555555554</v>
      </c>
      <c r="AM4" s="53">
        <f t="shared" ref="AM4:AM11" si="14">IF($D4="","",IF(AND(OR(AV4+AY4&gt;12,AND(AV4&gt;6,AY4&gt;6)),AJ4&gt;6,OR(AK4&gt;=AJ4,AK4&gt;6)),1,0))</f>
        <v>1</v>
      </c>
      <c r="AN4" s="246">
        <f t="shared" ref="AN4:AN11" si="15">IF($D4="","",IF(OR(AND(AV4&gt;6,AZ4&gt;6),AV4+AY4&gt;12),1,0))</f>
        <v>1</v>
      </c>
      <c r="AO4" s="246">
        <f t="shared" ref="AO4:AO11" si="16">IF($D4="","",IF(AND(AV4&gt;6,AX4&gt;6,AY4&gt;6),1,0))</f>
        <v>0</v>
      </c>
      <c r="AP4" s="246">
        <f t="shared" ref="AP4:AP11" si="17">IF($D4="","",IF(AND(AX4&gt;7,OR(AV4&gt;6,AY4&gt;6)),1,0))</f>
        <v>0</v>
      </c>
      <c r="AQ4" s="246">
        <f t="shared" ref="AQ4:AQ11" si="18">IF($D4="","",IF(AND(AX4&gt;6,OR(AV4&gt;6,AY4&gt;6)),1,0))</f>
        <v>1</v>
      </c>
      <c r="AR4" s="246">
        <f t="shared" ref="AR4:AR11" si="19">IF($D4="","",IF(AND(OR(AV4&gt;6,AX4&gt;6),OR(AV4&gt;6,AY4&gt;6)),1,0))</f>
        <v>1</v>
      </c>
      <c r="AS4" s="246">
        <f t="shared" ref="AS4:AS11" si="20">IF($D4="","",IF(AND(AV4&gt;4,OR(AV4&gt;6,AX4&gt;6,AY4&gt;6)),1,0))</f>
        <v>1</v>
      </c>
      <c r="AT4" s="246">
        <f t="shared" ref="AT4:AT11" si="21">IF($D4="","",IF(AND(AV4&gt;4,OR(AV4&gt;6,AW4&gt;6,AX4&gt;6,AY4&gt;6)),1,0))</f>
        <v>1</v>
      </c>
      <c r="AU4" s="247">
        <f t="shared" ref="AU4:AU11" si="22">IF($D4="","",IF(AND(AV4&gt;4,MAX(AV4:AZ4)&gt;6),1,0))</f>
        <v>1</v>
      </c>
      <c r="AV4" s="58">
        <f>IF($D4="","",VLOOKUP($D4,CTBat!$G$10:$BR$203,AV$1,FALSE))</f>
        <v>8</v>
      </c>
      <c r="AW4" s="37">
        <f>IF($D4="","",VLOOKUP($D4,CTBat!$G$10:$BR$203,AW$1,FALSE))</f>
        <v>7</v>
      </c>
      <c r="AX4" s="37">
        <f>IF($D4="","",VLOOKUP($D4,CTBat!$G$10:$BR$203,AX$1,FALSE))</f>
        <v>7</v>
      </c>
      <c r="AY4" s="37">
        <f>IF($D4="","",VLOOKUP($D4,CTBat!$G$10:$BR$203,AY$1,FALSE))</f>
        <v>6</v>
      </c>
      <c r="AZ4" s="38">
        <f>IF($D4="","",VLOOKUP($D4,CTBat!$G$10:$BR$203,AZ$1,FALSE))</f>
        <v>9</v>
      </c>
      <c r="BA4" s="67">
        <f t="shared" ref="BA4:BA11" si="23">IF($D4="","",(5*AV4+4*AX4+3*AY4+2*AW4+1*AZ4+0.5*(AVERAGE(AV4:AW4))+0.5*AVERAGE(AV4,AZ4)+1*(AVERAGE(AV4,AX4))+1*AVERAGE(AV4,AY4))/(5+4+3+2+1+0.5+0.5+1+1))</f>
        <v>7.3055555555555554</v>
      </c>
    </row>
    <row r="5" spans="1:53">
      <c r="A5">
        <v>3</v>
      </c>
      <c r="B5" s="260"/>
      <c r="C5" s="36" t="s">
        <v>99</v>
      </c>
      <c r="D5" s="37"/>
      <c r="E5" s="37" t="str">
        <f>IF($D5="","",VLOOKUP($D5,CTBat!$G$10:$BR$203,E$1,FALSE))</f>
        <v/>
      </c>
      <c r="F5" s="37" t="str">
        <f>IF($D5="","",VLOOKUP($D5,CTBat!$G$10:$BR$203,F$1,FALSE))</f>
        <v/>
      </c>
      <c r="G5" s="53" t="str">
        <f t="shared" si="3"/>
        <v/>
      </c>
      <c r="H5" s="246" t="str">
        <f t="shared" si="4"/>
        <v/>
      </c>
      <c r="I5" s="246" t="str">
        <f t="shared" si="5"/>
        <v/>
      </c>
      <c r="J5" s="246" t="str">
        <f t="shared" si="0"/>
        <v/>
      </c>
      <c r="K5" s="58" t="str">
        <f>IF($D5="","",VLOOKUP($D5,CTBat!$G$10:$BR$203,K$1,FALSE))</f>
        <v/>
      </c>
      <c r="L5" s="37" t="str">
        <f>IF($D5="","",VLOOKUP($D5,CTBat!$G$10:$BR$203,L$1,FALSE))</f>
        <v/>
      </c>
      <c r="M5" s="38" t="str">
        <f>IF($D5="","",VLOOKUP($D5,CTBat!$G$10:$BR$203,M$1,FALSE))</f>
        <v/>
      </c>
      <c r="N5" s="37" t="str">
        <f>IF($D5="","",VLOOKUP($D5,CTBat!$G$10:$BR$203,N$1,FALSE))</f>
        <v/>
      </c>
      <c r="O5" s="37" t="str">
        <f>IF($D5="","",VLOOKUP($D5,CTBat!$G$10:$BR$203,O$1,FALSE))</f>
        <v/>
      </c>
      <c r="P5" s="37" t="str">
        <f>IF($D5="","",VLOOKUP($D5,CTBat!$G$10:$BR$203,P$1,FALSE))</f>
        <v/>
      </c>
      <c r="Q5" s="37" t="str">
        <f>IF($D5="","",VLOOKUP($D5,CTBat!$G$10:$BR$203,Q$1,FALSE))</f>
        <v/>
      </c>
      <c r="R5" s="37" t="str">
        <f>IF($D5="","",VLOOKUP($D5,CTBat!$G$10:$BR$203,R$1,FALSE))</f>
        <v/>
      </c>
      <c r="S5" s="37" t="str">
        <f>IF($D5="","",VLOOKUP($D5,CTBat!$G$10:$BR$203,S$1,FALSE))</f>
        <v/>
      </c>
      <c r="T5" s="37" t="str">
        <f>IF($D5="","",VLOOKUP($D5,CTBat!$G$10:$BR$203,T$1,FALSE))</f>
        <v/>
      </c>
      <c r="U5" s="38" t="str">
        <f>IF($D5="","",VLOOKUP($D5,CTBat!$G$10:$BR$203,U$1,FALSE))</f>
        <v/>
      </c>
      <c r="V5" s="53" t="str">
        <f t="shared" si="1"/>
        <v/>
      </c>
      <c r="W5" s="246" t="str">
        <f t="shared" si="2"/>
        <v/>
      </c>
      <c r="X5" s="246" t="str">
        <f t="shared" si="6"/>
        <v/>
      </c>
      <c r="Y5" s="246" t="str">
        <f t="shared" si="7"/>
        <v/>
      </c>
      <c r="Z5" s="246" t="str">
        <f t="shared" si="8"/>
        <v/>
      </c>
      <c r="AA5" s="246" t="str">
        <f t="shared" si="9"/>
        <v/>
      </c>
      <c r="AB5" s="246" t="str">
        <f t="shared" si="10"/>
        <v/>
      </c>
      <c r="AC5" s="246" t="str">
        <f t="shared" si="11"/>
        <v/>
      </c>
      <c r="AD5" s="247" t="str">
        <f t="shared" si="12"/>
        <v/>
      </c>
      <c r="AE5" s="37" t="str">
        <f>IF($D5="","",VLOOKUP($D5,CTBat!$G$10:$BR$203,AE$1,FALSE))</f>
        <v/>
      </c>
      <c r="AF5" s="37" t="str">
        <f>IF($D5="","",VLOOKUP($D5,CTBat!$G$10:$BR$203,AF$1,FALSE))</f>
        <v/>
      </c>
      <c r="AG5" s="37" t="str">
        <f>IF($D5="","",VLOOKUP($D5,CTBat!$G$10:$BR$203,AG$1,FALSE))</f>
        <v/>
      </c>
      <c r="AH5" s="37" t="str">
        <f>IF($D5="","",VLOOKUP($D5,CTBat!$G$10:$BR$203,AH$1,FALSE))</f>
        <v/>
      </c>
      <c r="AI5" s="37" t="str">
        <f>IF($D5="","",VLOOKUP($D5,CTBat!$G$10:$BR$203,AI$1,FALSE))</f>
        <v/>
      </c>
      <c r="AJ5" s="58" t="str">
        <f>IF($D5="","",VLOOKUP($D5,CTBat!$G$10:$BR$203,AJ$1,FALSE))</f>
        <v/>
      </c>
      <c r="AK5" s="38" t="str">
        <f>IF($D5="","",VLOOKUP($D5,CTBat!$G$10:$BR$203,AK$1,FALSE))</f>
        <v/>
      </c>
      <c r="AL5" s="67" t="str">
        <f t="shared" si="13"/>
        <v/>
      </c>
      <c r="AM5" s="53" t="str">
        <f t="shared" si="14"/>
        <v/>
      </c>
      <c r="AN5" s="246" t="str">
        <f t="shared" si="15"/>
        <v/>
      </c>
      <c r="AO5" s="246" t="str">
        <f t="shared" si="16"/>
        <v/>
      </c>
      <c r="AP5" s="246" t="str">
        <f t="shared" si="17"/>
        <v/>
      </c>
      <c r="AQ5" s="246" t="str">
        <f t="shared" si="18"/>
        <v/>
      </c>
      <c r="AR5" s="246" t="str">
        <f t="shared" si="19"/>
        <v/>
      </c>
      <c r="AS5" s="246" t="str">
        <f t="shared" si="20"/>
        <v/>
      </c>
      <c r="AT5" s="246" t="str">
        <f t="shared" si="21"/>
        <v/>
      </c>
      <c r="AU5" s="247" t="str">
        <f t="shared" si="22"/>
        <v/>
      </c>
      <c r="AV5" s="58" t="str">
        <f>IF($D5="","",VLOOKUP($D5,CTBat!$G$10:$BR$203,AV$1,FALSE))</f>
        <v/>
      </c>
      <c r="AW5" s="37" t="str">
        <f>IF($D5="","",VLOOKUP($D5,CTBat!$G$10:$BR$203,AW$1,FALSE))</f>
        <v/>
      </c>
      <c r="AX5" s="37" t="str">
        <f>IF($D5="","",VLOOKUP($D5,CTBat!$G$10:$BR$203,AX$1,FALSE))</f>
        <v/>
      </c>
      <c r="AY5" s="37" t="str">
        <f>IF($D5="","",VLOOKUP($D5,CTBat!$G$10:$BR$203,AY$1,FALSE))</f>
        <v/>
      </c>
      <c r="AZ5" s="38" t="str">
        <f>IF($D5="","",VLOOKUP($D5,CTBat!$G$10:$BR$203,AZ$1,FALSE))</f>
        <v/>
      </c>
      <c r="BA5" s="67" t="str">
        <f t="shared" si="23"/>
        <v/>
      </c>
    </row>
    <row r="6" spans="1:53">
      <c r="A6">
        <v>4</v>
      </c>
      <c r="B6" s="263" t="s">
        <v>236</v>
      </c>
      <c r="C6" s="36" t="s">
        <v>100</v>
      </c>
      <c r="D6" s="65" t="s">
        <v>381</v>
      </c>
      <c r="E6" s="37">
        <f>IF($D6="","",VLOOKUP($D6,CTBat!$G$10:$BR$203,E$1,FALSE))</f>
        <v>25</v>
      </c>
      <c r="F6" s="37" t="str">
        <f>IF($D6="","",VLOOKUP($D6,CTBat!$G$10:$BR$203,F$1,FALSE))</f>
        <v>L</v>
      </c>
      <c r="G6" s="53">
        <f t="shared" si="3"/>
        <v>0</v>
      </c>
      <c r="H6" s="246">
        <f t="shared" si="4"/>
        <v>0</v>
      </c>
      <c r="I6" s="246">
        <f t="shared" si="5"/>
        <v>1</v>
      </c>
      <c r="J6" s="246">
        <f t="shared" si="0"/>
        <v>1</v>
      </c>
      <c r="K6" s="58">
        <f>IF($D6="","",VLOOKUP($D6,CTBat!$G$10:$BR$203,K$1,FALSE))</f>
        <v>1</v>
      </c>
      <c r="L6" s="37">
        <f>IF($D6="","",VLOOKUP($D6,CTBat!$G$10:$BR$203,L$1,FALSE))</f>
        <v>1</v>
      </c>
      <c r="M6" s="38">
        <f>IF($D6="","",VLOOKUP($D6,CTBat!$G$10:$BR$203,M$1,FALSE))</f>
        <v>10</v>
      </c>
      <c r="N6" s="37" t="str">
        <f>IF($D6="","",VLOOKUP($D6,CTBat!$G$10:$BR$203,N$1,FALSE))</f>
        <v>-</v>
      </c>
      <c r="O6" s="37" t="str">
        <f>IF($D6="","",VLOOKUP($D6,CTBat!$G$10:$BR$203,O$1,FALSE))</f>
        <v>-</v>
      </c>
      <c r="P6" s="37" t="str">
        <f>IF($D6="","",VLOOKUP($D6,CTBat!$G$10:$BR$203,P$1,FALSE))</f>
        <v>-</v>
      </c>
      <c r="Q6" s="37" t="str">
        <f>IF($D6="","",VLOOKUP($D6,CTBat!$G$10:$BR$203,Q$1,FALSE))</f>
        <v>-</v>
      </c>
      <c r="R6" s="37" t="str">
        <f>IF($D6="","",VLOOKUP($D6,CTBat!$G$10:$BR$203,R$1,FALSE))</f>
        <v>-</v>
      </c>
      <c r="S6" s="37">
        <f>IF($D6="","",VLOOKUP($D6,CTBat!$G$10:$BR$203,S$1,FALSE))</f>
        <v>7</v>
      </c>
      <c r="T6" s="37">
        <f>IF($D6="","",VLOOKUP($D6,CTBat!$G$10:$BR$203,T$1,FALSE))</f>
        <v>9</v>
      </c>
      <c r="U6" s="38">
        <f>IF($D6="","",VLOOKUP($D6,CTBat!$G$10:$BR$203,U$1,FALSE))</f>
        <v>10</v>
      </c>
      <c r="V6" s="53">
        <f t="shared" si="1"/>
        <v>1</v>
      </c>
      <c r="W6" s="246">
        <f t="shared" si="2"/>
        <v>1</v>
      </c>
      <c r="X6" s="246">
        <f t="shared" si="6"/>
        <v>0</v>
      </c>
      <c r="Y6" s="246">
        <f t="shared" si="7"/>
        <v>0</v>
      </c>
      <c r="Z6" s="246">
        <f t="shared" si="8"/>
        <v>0</v>
      </c>
      <c r="AA6" s="246">
        <f t="shared" si="9"/>
        <v>1</v>
      </c>
      <c r="AB6" s="246">
        <f t="shared" si="10"/>
        <v>1</v>
      </c>
      <c r="AC6" s="246">
        <f t="shared" si="11"/>
        <v>1</v>
      </c>
      <c r="AD6" s="247">
        <f t="shared" si="12"/>
        <v>1</v>
      </c>
      <c r="AE6" s="37">
        <f>IF($D6="","",VLOOKUP($D6,CTBat!$G$10:$BR$203,AE$1,FALSE))</f>
        <v>10</v>
      </c>
      <c r="AF6" s="37">
        <f>IF($D6="","",VLOOKUP($D6,CTBat!$G$10:$BR$203,AF$1,FALSE))</f>
        <v>7</v>
      </c>
      <c r="AG6" s="37">
        <f>IF($D6="","",VLOOKUP($D6,CTBat!$G$10:$BR$203,AG$1,FALSE))</f>
        <v>4</v>
      </c>
      <c r="AH6" s="37">
        <f>IF($D6="","",VLOOKUP($D6,CTBat!$G$10:$BR$203,AH$1,FALSE))</f>
        <v>6</v>
      </c>
      <c r="AI6" s="37">
        <f>IF($D6="","",VLOOKUP($D6,CTBat!$G$10:$BR$203,AI$1,FALSE))</f>
        <v>8</v>
      </c>
      <c r="AJ6" s="58">
        <f>IF($D6="","",VLOOKUP($D6,CTBat!$G$10:$BR$203,AJ$1,FALSE))</f>
        <v>7</v>
      </c>
      <c r="AK6" s="38">
        <f>IF($D6="","",VLOOKUP($D6,CTBat!$G$10:$BR$203,AK$1,FALSE))</f>
        <v>9</v>
      </c>
      <c r="AL6" s="67">
        <f t="shared" si="13"/>
        <v>7.208333333333333</v>
      </c>
      <c r="AM6" s="53">
        <f t="shared" si="14"/>
        <v>1</v>
      </c>
      <c r="AN6" s="246">
        <f t="shared" si="15"/>
        <v>1</v>
      </c>
      <c r="AO6" s="246">
        <f t="shared" si="16"/>
        <v>0</v>
      </c>
      <c r="AP6" s="246">
        <f t="shared" si="17"/>
        <v>0</v>
      </c>
      <c r="AQ6" s="246">
        <f t="shared" si="18"/>
        <v>0</v>
      </c>
      <c r="AR6" s="246">
        <f t="shared" si="19"/>
        <v>1</v>
      </c>
      <c r="AS6" s="246">
        <f t="shared" si="20"/>
        <v>1</v>
      </c>
      <c r="AT6" s="246">
        <f t="shared" si="21"/>
        <v>1</v>
      </c>
      <c r="AU6" s="247">
        <f t="shared" si="22"/>
        <v>1</v>
      </c>
      <c r="AV6" s="58">
        <f>IF($D6="","",VLOOKUP($D6,CTBat!$G$10:$BR$203,AV$1,FALSE))</f>
        <v>10</v>
      </c>
      <c r="AW6" s="37">
        <f>IF($D6="","",VLOOKUP($D6,CTBat!$G$10:$BR$203,AW$1,FALSE))</f>
        <v>7</v>
      </c>
      <c r="AX6" s="37">
        <f>IF($D6="","",VLOOKUP($D6,CTBat!$G$10:$BR$203,AX$1,FALSE))</f>
        <v>5</v>
      </c>
      <c r="AY6" s="37">
        <f>IF($D6="","",VLOOKUP($D6,CTBat!$G$10:$BR$203,AY$1,FALSE))</f>
        <v>7</v>
      </c>
      <c r="AZ6" s="38">
        <f>IF($D6="","",VLOOKUP($D6,CTBat!$G$10:$BR$203,AZ$1,FALSE))</f>
        <v>8</v>
      </c>
      <c r="BA6" s="67">
        <f t="shared" si="23"/>
        <v>7.6527777777777777</v>
      </c>
    </row>
    <row r="7" spans="1:53">
      <c r="A7">
        <v>5</v>
      </c>
      <c r="B7" s="260"/>
      <c r="C7" s="36" t="s">
        <v>18</v>
      </c>
      <c r="D7" s="65"/>
      <c r="E7" s="37" t="str">
        <f>IF($D7="","",VLOOKUP($D7,CTBat!$G$10:$BR$203,E$1,FALSE))</f>
        <v/>
      </c>
      <c r="F7" s="37" t="str">
        <f>IF($D7="","",VLOOKUP($D7,CTBat!$G$10:$BR$203,F$1,FALSE))</f>
        <v/>
      </c>
      <c r="G7" s="53" t="str">
        <f t="shared" si="3"/>
        <v/>
      </c>
      <c r="H7" s="246" t="str">
        <f t="shared" si="4"/>
        <v/>
      </c>
      <c r="I7" s="246" t="str">
        <f t="shared" si="5"/>
        <v/>
      </c>
      <c r="J7" s="246" t="str">
        <f t="shared" si="0"/>
        <v/>
      </c>
      <c r="K7" s="58" t="str">
        <f>IF($D7="","",VLOOKUP($D7,CTBat!$G$10:$BR$203,K$1,FALSE))</f>
        <v/>
      </c>
      <c r="L7" s="37" t="str">
        <f>IF($D7="","",VLOOKUP($D7,CTBat!$G$10:$BR$203,L$1,FALSE))</f>
        <v/>
      </c>
      <c r="M7" s="38" t="str">
        <f>IF($D7="","",VLOOKUP($D7,CTBat!$G$10:$BR$203,M$1,FALSE))</f>
        <v/>
      </c>
      <c r="N7" s="37" t="str">
        <f>IF($D7="","",VLOOKUP($D7,CTBat!$G$10:$BR$203,N$1,FALSE))</f>
        <v/>
      </c>
      <c r="O7" s="37" t="str">
        <f>IF($D7="","",VLOOKUP($D7,CTBat!$G$10:$BR$203,O$1,FALSE))</f>
        <v/>
      </c>
      <c r="P7" s="37" t="str">
        <f>IF($D7="","",VLOOKUP($D7,CTBat!$G$10:$BR$203,P$1,FALSE))</f>
        <v/>
      </c>
      <c r="Q7" s="37" t="str">
        <f>IF($D7="","",VLOOKUP($D7,CTBat!$G$10:$BR$203,Q$1,FALSE))</f>
        <v/>
      </c>
      <c r="R7" s="37" t="str">
        <f>IF($D7="","",VLOOKUP($D7,CTBat!$G$10:$BR$203,R$1,FALSE))</f>
        <v/>
      </c>
      <c r="S7" s="37" t="str">
        <f>IF($D7="","",VLOOKUP($D7,CTBat!$G$10:$BR$203,S$1,FALSE))</f>
        <v/>
      </c>
      <c r="T7" s="37" t="str">
        <f>IF($D7="","",VLOOKUP($D7,CTBat!$G$10:$BR$203,T$1,FALSE))</f>
        <v/>
      </c>
      <c r="U7" s="38" t="str">
        <f>IF($D7="","",VLOOKUP($D7,CTBat!$G$10:$BR$203,U$1,FALSE))</f>
        <v/>
      </c>
      <c r="V7" s="53" t="str">
        <f t="shared" si="1"/>
        <v/>
      </c>
      <c r="W7" s="246" t="str">
        <f t="shared" si="2"/>
        <v/>
      </c>
      <c r="X7" s="246" t="str">
        <f t="shared" si="6"/>
        <v/>
      </c>
      <c r="Y7" s="246" t="str">
        <f t="shared" si="7"/>
        <v/>
      </c>
      <c r="Z7" s="246" t="str">
        <f t="shared" si="8"/>
        <v/>
      </c>
      <c r="AA7" s="246" t="str">
        <f t="shared" si="9"/>
        <v/>
      </c>
      <c r="AB7" s="246" t="str">
        <f t="shared" si="10"/>
        <v/>
      </c>
      <c r="AC7" s="246" t="str">
        <f t="shared" si="11"/>
        <v/>
      </c>
      <c r="AD7" s="247" t="str">
        <f t="shared" si="12"/>
        <v/>
      </c>
      <c r="AE7" s="37" t="str">
        <f>IF($D7="","",VLOOKUP($D7,CTBat!$G$10:$BR$203,AE$1,FALSE))</f>
        <v/>
      </c>
      <c r="AF7" s="37" t="str">
        <f>IF($D7="","",VLOOKUP($D7,CTBat!$G$10:$BR$203,AF$1,FALSE))</f>
        <v/>
      </c>
      <c r="AG7" s="37" t="str">
        <f>IF($D7="","",VLOOKUP($D7,CTBat!$G$10:$BR$203,AG$1,FALSE))</f>
        <v/>
      </c>
      <c r="AH7" s="37" t="str">
        <f>IF($D7="","",VLOOKUP($D7,CTBat!$G$10:$BR$203,AH$1,FALSE))</f>
        <v/>
      </c>
      <c r="AI7" s="37" t="str">
        <f>IF($D7="","",VLOOKUP($D7,CTBat!$G$10:$BR$203,AI$1,FALSE))</f>
        <v/>
      </c>
      <c r="AJ7" s="58" t="str">
        <f>IF($D7="","",VLOOKUP($D7,CTBat!$G$10:$BR$203,AJ$1,FALSE))</f>
        <v/>
      </c>
      <c r="AK7" s="38" t="str">
        <f>IF($D7="","",VLOOKUP($D7,CTBat!$G$10:$BR$203,AK$1,FALSE))</f>
        <v/>
      </c>
      <c r="AL7" s="67" t="str">
        <f t="shared" si="13"/>
        <v/>
      </c>
      <c r="AM7" s="53" t="str">
        <f t="shared" si="14"/>
        <v/>
      </c>
      <c r="AN7" s="246" t="str">
        <f t="shared" si="15"/>
        <v/>
      </c>
      <c r="AO7" s="246" t="str">
        <f t="shared" si="16"/>
        <v/>
      </c>
      <c r="AP7" s="246" t="str">
        <f t="shared" si="17"/>
        <v/>
      </c>
      <c r="AQ7" s="246" t="str">
        <f t="shared" si="18"/>
        <v/>
      </c>
      <c r="AR7" s="246" t="str">
        <f t="shared" si="19"/>
        <v/>
      </c>
      <c r="AS7" s="246" t="str">
        <f t="shared" si="20"/>
        <v/>
      </c>
      <c r="AT7" s="246" t="str">
        <f t="shared" si="21"/>
        <v/>
      </c>
      <c r="AU7" s="247" t="str">
        <f t="shared" si="22"/>
        <v/>
      </c>
      <c r="AV7" s="58" t="str">
        <f>IF($D7="","",VLOOKUP($D7,CTBat!$G$10:$BR$203,AV$1,FALSE))</f>
        <v/>
      </c>
      <c r="AW7" s="37" t="str">
        <f>IF($D7="","",VLOOKUP($D7,CTBat!$G$10:$BR$203,AW$1,FALSE))</f>
        <v/>
      </c>
      <c r="AX7" s="37" t="str">
        <f>IF($D7="","",VLOOKUP($D7,CTBat!$G$10:$BR$203,AX$1,FALSE))</f>
        <v/>
      </c>
      <c r="AY7" s="37" t="str">
        <f>IF($D7="","",VLOOKUP($D7,CTBat!$G$10:$BR$203,AY$1,FALSE))</f>
        <v/>
      </c>
      <c r="AZ7" s="38" t="str">
        <f>IF($D7="","",VLOOKUP($D7,CTBat!$G$10:$BR$203,AZ$1,FALSE))</f>
        <v/>
      </c>
      <c r="BA7" s="67" t="str">
        <f t="shared" si="23"/>
        <v/>
      </c>
    </row>
    <row r="8" spans="1:53">
      <c r="A8">
        <v>6</v>
      </c>
      <c r="B8" s="260"/>
      <c r="C8" s="36" t="s">
        <v>101</v>
      </c>
      <c r="D8" s="65"/>
      <c r="E8" s="37" t="str">
        <f>IF($D8="","",VLOOKUP($D8,CTBat!$G$10:$BR$203,E$1,FALSE))</f>
        <v/>
      </c>
      <c r="F8" s="37" t="str">
        <f>IF($D8="","",VLOOKUP($D8,CTBat!$G$10:$BR$203,F$1,FALSE))</f>
        <v/>
      </c>
      <c r="G8" s="53" t="str">
        <f t="shared" si="3"/>
        <v/>
      </c>
      <c r="H8" s="246" t="str">
        <f t="shared" si="4"/>
        <v/>
      </c>
      <c r="I8" s="246" t="str">
        <f t="shared" si="5"/>
        <v/>
      </c>
      <c r="J8" s="246" t="str">
        <f>IF($D8="","",IF(AND(T8&gt;4,T8&lt;&gt;"-"),1,0))</f>
        <v/>
      </c>
      <c r="K8" s="58" t="str">
        <f>IF($D8="","",VLOOKUP($D8,CTBat!$G$10:$BR$203,K$1,FALSE))</f>
        <v/>
      </c>
      <c r="L8" s="37" t="str">
        <f>IF($D8="","",VLOOKUP($D8,CTBat!$G$10:$BR$203,L$1,FALSE))</f>
        <v/>
      </c>
      <c r="M8" s="38" t="str">
        <f>IF($D8="","",VLOOKUP($D8,CTBat!$G$10:$BR$203,M$1,FALSE))</f>
        <v/>
      </c>
      <c r="N8" s="37" t="str">
        <f>IF($D8="","",VLOOKUP($D8,CTBat!$G$10:$BR$203,N$1,FALSE))</f>
        <v/>
      </c>
      <c r="O8" s="37" t="str">
        <f>IF($D8="","",VLOOKUP($D8,CTBat!$G$10:$BR$203,O$1,FALSE))</f>
        <v/>
      </c>
      <c r="P8" s="37" t="str">
        <f>IF($D8="","",VLOOKUP($D8,CTBat!$G$10:$BR$203,P$1,FALSE))</f>
        <v/>
      </c>
      <c r="Q8" s="37" t="str">
        <f>IF($D8="","",VLOOKUP($D8,CTBat!$G$10:$BR$203,Q$1,FALSE))</f>
        <v/>
      </c>
      <c r="R8" s="37" t="str">
        <f>IF($D8="","",VLOOKUP($D8,CTBat!$G$10:$BR$203,R$1,FALSE))</f>
        <v/>
      </c>
      <c r="S8" s="37" t="str">
        <f>IF($D8="","",VLOOKUP($D8,CTBat!$G$10:$BR$203,S$1,FALSE))</f>
        <v/>
      </c>
      <c r="T8" s="37" t="str">
        <f>IF($D8="","",VLOOKUP($D8,CTBat!$G$10:$BR$203,T$1,FALSE))</f>
        <v/>
      </c>
      <c r="U8" s="38" t="str">
        <f>IF($D8="","",VLOOKUP($D8,CTBat!$G$10:$BR$203,U$1,FALSE))</f>
        <v/>
      </c>
      <c r="V8" s="53" t="str">
        <f t="shared" si="1"/>
        <v/>
      </c>
      <c r="W8" s="246" t="str">
        <f t="shared" si="2"/>
        <v/>
      </c>
      <c r="X8" s="246" t="str">
        <f t="shared" si="6"/>
        <v/>
      </c>
      <c r="Y8" s="246" t="str">
        <f t="shared" si="7"/>
        <v/>
      </c>
      <c r="Z8" s="246" t="str">
        <f t="shared" si="8"/>
        <v/>
      </c>
      <c r="AA8" s="246" t="str">
        <f t="shared" si="9"/>
        <v/>
      </c>
      <c r="AB8" s="246" t="str">
        <f t="shared" si="10"/>
        <v/>
      </c>
      <c r="AC8" s="246" t="str">
        <f t="shared" si="11"/>
        <v/>
      </c>
      <c r="AD8" s="247" t="str">
        <f t="shared" si="12"/>
        <v/>
      </c>
      <c r="AE8" s="37" t="str">
        <f>IF($D8="","",VLOOKUP($D8,CTBat!$G$10:$BR$203,AE$1,FALSE))</f>
        <v/>
      </c>
      <c r="AF8" s="37" t="str">
        <f>IF($D8="","",VLOOKUP($D8,CTBat!$G$10:$BR$203,AF$1,FALSE))</f>
        <v/>
      </c>
      <c r="AG8" s="37" t="str">
        <f>IF($D8="","",VLOOKUP($D8,CTBat!$G$10:$BR$203,AG$1,FALSE))</f>
        <v/>
      </c>
      <c r="AH8" s="37" t="str">
        <f>IF($D8="","",VLOOKUP($D8,CTBat!$G$10:$BR$203,AH$1,FALSE))</f>
        <v/>
      </c>
      <c r="AI8" s="37" t="str">
        <f>IF($D8="","",VLOOKUP($D8,CTBat!$G$10:$BR$203,AI$1,FALSE))</f>
        <v/>
      </c>
      <c r="AJ8" s="58" t="str">
        <f>IF($D8="","",VLOOKUP($D8,CTBat!$G$10:$BR$203,AJ$1,FALSE))</f>
        <v/>
      </c>
      <c r="AK8" s="38" t="str">
        <f>IF($D8="","",VLOOKUP($D8,CTBat!$G$10:$BR$203,AK$1,FALSE))</f>
        <v/>
      </c>
      <c r="AL8" s="67" t="str">
        <f t="shared" si="13"/>
        <v/>
      </c>
      <c r="AM8" s="53" t="str">
        <f t="shared" si="14"/>
        <v/>
      </c>
      <c r="AN8" s="246" t="str">
        <f t="shared" si="15"/>
        <v/>
      </c>
      <c r="AO8" s="246" t="str">
        <f t="shared" si="16"/>
        <v/>
      </c>
      <c r="AP8" s="246" t="str">
        <f t="shared" si="17"/>
        <v/>
      </c>
      <c r="AQ8" s="246" t="str">
        <f t="shared" si="18"/>
        <v/>
      </c>
      <c r="AR8" s="246" t="str">
        <f t="shared" si="19"/>
        <v/>
      </c>
      <c r="AS8" s="246" t="str">
        <f t="shared" si="20"/>
        <v/>
      </c>
      <c r="AT8" s="246" t="str">
        <f t="shared" si="21"/>
        <v/>
      </c>
      <c r="AU8" s="247" t="str">
        <f t="shared" si="22"/>
        <v/>
      </c>
      <c r="AV8" s="58" t="str">
        <f>IF($D8="","",VLOOKUP($D8,CTBat!$G$10:$BR$203,AV$1,FALSE))</f>
        <v/>
      </c>
      <c r="AW8" s="37" t="str">
        <f>IF($D8="","",VLOOKUP($D8,CTBat!$G$10:$BR$203,AW$1,FALSE))</f>
        <v/>
      </c>
      <c r="AX8" s="37" t="str">
        <f>IF($D8="","",VLOOKUP($D8,CTBat!$G$10:$BR$203,AX$1,FALSE))</f>
        <v/>
      </c>
      <c r="AY8" s="37" t="str">
        <f>IF($D8="","",VLOOKUP($D8,CTBat!$G$10:$BR$203,AY$1,FALSE))</f>
        <v/>
      </c>
      <c r="AZ8" s="38" t="str">
        <f>IF($D8="","",VLOOKUP($D8,CTBat!$G$10:$BR$203,AZ$1,FALSE))</f>
        <v/>
      </c>
      <c r="BA8" s="67" t="str">
        <f t="shared" si="23"/>
        <v/>
      </c>
    </row>
    <row r="9" spans="1:53">
      <c r="A9">
        <v>7</v>
      </c>
      <c r="B9" s="260"/>
      <c r="C9" s="36" t="s">
        <v>101</v>
      </c>
      <c r="D9" s="65"/>
      <c r="E9" s="37" t="str">
        <f>IF($D9="","",VLOOKUP($D9,CTBat!$G$10:$BR$203,E$1,FALSE))</f>
        <v/>
      </c>
      <c r="F9" s="37" t="str">
        <f>IF($D9="","",VLOOKUP($D9,CTBat!$G$10:$BR$203,F$1,FALSE))</f>
        <v/>
      </c>
      <c r="G9" s="53" t="str">
        <f t="shared" si="3"/>
        <v/>
      </c>
      <c r="H9" s="246" t="str">
        <f t="shared" si="4"/>
        <v/>
      </c>
      <c r="I9" s="246" t="str">
        <f t="shared" si="5"/>
        <v/>
      </c>
      <c r="J9" s="246" t="str">
        <f t="shared" ref="J9:J11" si="24">IF($D9="","",IF(AND(T9&gt;4,T9&lt;&gt;"-"),1,0))</f>
        <v/>
      </c>
      <c r="K9" s="58" t="str">
        <f>IF($D9="","",VLOOKUP($D9,CTBat!$G$10:$BR$203,K$1,FALSE))</f>
        <v/>
      </c>
      <c r="L9" s="37" t="str">
        <f>IF($D9="","",VLOOKUP($D9,CTBat!$G$10:$BR$203,L$1,FALSE))</f>
        <v/>
      </c>
      <c r="M9" s="38" t="str">
        <f>IF($D9="","",VLOOKUP($D9,CTBat!$G$10:$BR$203,M$1,FALSE))</f>
        <v/>
      </c>
      <c r="N9" s="37" t="str">
        <f>IF($D9="","",VLOOKUP($D9,CTBat!$G$10:$BR$203,N$1,FALSE))</f>
        <v/>
      </c>
      <c r="O9" s="37" t="str">
        <f>IF($D9="","",VLOOKUP($D9,CTBat!$G$10:$BR$203,O$1,FALSE))</f>
        <v/>
      </c>
      <c r="P9" s="37" t="str">
        <f>IF($D9="","",VLOOKUP($D9,CTBat!$G$10:$BR$203,P$1,FALSE))</f>
        <v/>
      </c>
      <c r="Q9" s="37" t="str">
        <f>IF($D9="","",VLOOKUP($D9,CTBat!$G$10:$BR$203,Q$1,FALSE))</f>
        <v/>
      </c>
      <c r="R9" s="37" t="str">
        <f>IF($D9="","",VLOOKUP($D9,CTBat!$G$10:$BR$203,R$1,FALSE))</f>
        <v/>
      </c>
      <c r="S9" s="37" t="str">
        <f>IF($D9="","",VLOOKUP($D9,CTBat!$G$10:$BR$203,S$1,FALSE))</f>
        <v/>
      </c>
      <c r="T9" s="37" t="str">
        <f>IF($D9="","",VLOOKUP($D9,CTBat!$G$10:$BR$203,T$1,FALSE))</f>
        <v/>
      </c>
      <c r="U9" s="38" t="str">
        <f>IF($D9="","",VLOOKUP($D9,CTBat!$G$10:$BR$203,U$1,FALSE))</f>
        <v/>
      </c>
      <c r="V9" s="53" t="str">
        <f t="shared" si="1"/>
        <v/>
      </c>
      <c r="W9" s="246" t="str">
        <f t="shared" si="2"/>
        <v/>
      </c>
      <c r="X9" s="246" t="str">
        <f t="shared" si="6"/>
        <v/>
      </c>
      <c r="Y9" s="246" t="str">
        <f t="shared" si="7"/>
        <v/>
      </c>
      <c r="Z9" s="246" t="str">
        <f t="shared" si="8"/>
        <v/>
      </c>
      <c r="AA9" s="246" t="str">
        <f t="shared" si="9"/>
        <v/>
      </c>
      <c r="AB9" s="246" t="str">
        <f t="shared" si="10"/>
        <v/>
      </c>
      <c r="AC9" s="246" t="str">
        <f t="shared" si="11"/>
        <v/>
      </c>
      <c r="AD9" s="247" t="str">
        <f t="shared" si="12"/>
        <v/>
      </c>
      <c r="AE9" s="37" t="str">
        <f>IF($D9="","",VLOOKUP($D9,CTBat!$G$10:$BR$203,AE$1,FALSE))</f>
        <v/>
      </c>
      <c r="AF9" s="37" t="str">
        <f>IF($D9="","",VLOOKUP($D9,CTBat!$G$10:$BR$203,AF$1,FALSE))</f>
        <v/>
      </c>
      <c r="AG9" s="37" t="str">
        <f>IF($D9="","",VLOOKUP($D9,CTBat!$G$10:$BR$203,AG$1,FALSE))</f>
        <v/>
      </c>
      <c r="AH9" s="37" t="str">
        <f>IF($D9="","",VLOOKUP($D9,CTBat!$G$10:$BR$203,AH$1,FALSE))</f>
        <v/>
      </c>
      <c r="AI9" s="37" t="str">
        <f>IF($D9="","",VLOOKUP($D9,CTBat!$G$10:$BR$203,AI$1,FALSE))</f>
        <v/>
      </c>
      <c r="AJ9" s="58" t="str">
        <f>IF($D9="","",VLOOKUP($D9,CTBat!$G$10:$BR$203,AJ$1,FALSE))</f>
        <v/>
      </c>
      <c r="AK9" s="38" t="str">
        <f>IF($D9="","",VLOOKUP($D9,CTBat!$G$10:$BR$203,AK$1,FALSE))</f>
        <v/>
      </c>
      <c r="AL9" s="67" t="str">
        <f t="shared" si="13"/>
        <v/>
      </c>
      <c r="AM9" s="53" t="str">
        <f t="shared" si="14"/>
        <v/>
      </c>
      <c r="AN9" s="246" t="str">
        <f t="shared" si="15"/>
        <v/>
      </c>
      <c r="AO9" s="246" t="str">
        <f t="shared" si="16"/>
        <v/>
      </c>
      <c r="AP9" s="246" t="str">
        <f t="shared" si="17"/>
        <v/>
      </c>
      <c r="AQ9" s="246" t="str">
        <f t="shared" si="18"/>
        <v/>
      </c>
      <c r="AR9" s="246" t="str">
        <f t="shared" si="19"/>
        <v/>
      </c>
      <c r="AS9" s="246" t="str">
        <f t="shared" si="20"/>
        <v/>
      </c>
      <c r="AT9" s="246" t="str">
        <f t="shared" si="21"/>
        <v/>
      </c>
      <c r="AU9" s="247" t="str">
        <f t="shared" si="22"/>
        <v/>
      </c>
      <c r="AV9" s="58" t="str">
        <f>IF($D9="","",VLOOKUP($D9,CTBat!$G$10:$BR$203,AV$1,FALSE))</f>
        <v/>
      </c>
      <c r="AW9" s="37" t="str">
        <f>IF($D9="","",VLOOKUP($D9,CTBat!$G$10:$BR$203,AW$1,FALSE))</f>
        <v/>
      </c>
      <c r="AX9" s="37" t="str">
        <f>IF($D9="","",VLOOKUP($D9,CTBat!$G$10:$BR$203,AX$1,FALSE))</f>
        <v/>
      </c>
      <c r="AY9" s="37" t="str">
        <f>IF($D9="","",VLOOKUP($D9,CTBat!$G$10:$BR$203,AY$1,FALSE))</f>
        <v/>
      </c>
      <c r="AZ9" s="38" t="str">
        <f>IF($D9="","",VLOOKUP($D9,CTBat!$G$10:$BR$203,AZ$1,FALSE))</f>
        <v/>
      </c>
      <c r="BA9" s="67" t="str">
        <f t="shared" si="23"/>
        <v/>
      </c>
    </row>
    <row r="10" spans="1:53">
      <c r="A10">
        <v>8</v>
      </c>
      <c r="B10" s="260">
        <v>2021</v>
      </c>
      <c r="C10" s="36" t="s">
        <v>101</v>
      </c>
      <c r="D10" s="65" t="s">
        <v>464</v>
      </c>
      <c r="E10" s="37" t="e">
        <f>IF($D10="","",VLOOKUP($D10,CTBat!$G$10:$BR$203,E$1,FALSE))</f>
        <v>#N/A</v>
      </c>
      <c r="F10" s="37" t="e">
        <f>IF($D10="","",VLOOKUP($D10,CTBat!$G$10:$BR$203,F$1,FALSE))</f>
        <v>#N/A</v>
      </c>
      <c r="G10" s="53" t="e">
        <f t="shared" si="3"/>
        <v>#N/A</v>
      </c>
      <c r="H10" s="246" t="e">
        <f t="shared" si="4"/>
        <v>#N/A</v>
      </c>
      <c r="I10" s="246" t="e">
        <f t="shared" si="5"/>
        <v>#N/A</v>
      </c>
      <c r="J10" s="246" t="e">
        <f t="shared" si="24"/>
        <v>#N/A</v>
      </c>
      <c r="K10" s="58" t="e">
        <f>IF($D10="","",VLOOKUP($D10,CTBat!$G$10:$BR$203,K$1,FALSE))</f>
        <v>#N/A</v>
      </c>
      <c r="L10" s="37" t="e">
        <f>IF($D10="","",VLOOKUP($D10,CTBat!$G$10:$BR$203,L$1,FALSE))</f>
        <v>#N/A</v>
      </c>
      <c r="M10" s="38" t="e">
        <f>IF($D10="","",VLOOKUP($D10,CTBat!$G$10:$BR$203,M$1,FALSE))</f>
        <v>#N/A</v>
      </c>
      <c r="N10" s="37" t="e">
        <f>IF($D10="","",VLOOKUP($D10,CTBat!$G$10:$BR$203,N$1,FALSE))</f>
        <v>#N/A</v>
      </c>
      <c r="O10" s="37" t="e">
        <f>IF($D10="","",VLOOKUP($D10,CTBat!$G$10:$BR$203,O$1,FALSE))</f>
        <v>#N/A</v>
      </c>
      <c r="P10" s="37" t="e">
        <f>IF($D10="","",VLOOKUP($D10,CTBat!$G$10:$BR$203,P$1,FALSE))</f>
        <v>#N/A</v>
      </c>
      <c r="Q10" s="37" t="e">
        <f>IF($D10="","",VLOOKUP($D10,CTBat!$G$10:$BR$203,Q$1,FALSE))</f>
        <v>#N/A</v>
      </c>
      <c r="R10" s="37" t="e">
        <f>IF($D10="","",VLOOKUP($D10,CTBat!$G$10:$BR$203,R$1,FALSE))</f>
        <v>#N/A</v>
      </c>
      <c r="S10" s="37" t="e">
        <f>IF($D10="","",VLOOKUP($D10,CTBat!$G$10:$BR$203,S$1,FALSE))</f>
        <v>#N/A</v>
      </c>
      <c r="T10" s="37" t="e">
        <f>IF($D10="","",VLOOKUP($D10,CTBat!$G$10:$BR$203,T$1,FALSE))</f>
        <v>#N/A</v>
      </c>
      <c r="U10" s="38" t="e">
        <f>IF($D10="","",VLOOKUP($D10,CTBat!$G$10:$BR$203,U$1,FALSE))</f>
        <v>#N/A</v>
      </c>
      <c r="V10" s="53" t="e">
        <f t="shared" si="1"/>
        <v>#N/A</v>
      </c>
      <c r="W10" s="246" t="e">
        <f t="shared" si="2"/>
        <v>#N/A</v>
      </c>
      <c r="X10" s="246" t="e">
        <f t="shared" si="6"/>
        <v>#N/A</v>
      </c>
      <c r="Y10" s="246" t="e">
        <f t="shared" si="7"/>
        <v>#N/A</v>
      </c>
      <c r="Z10" s="246" t="e">
        <f t="shared" si="8"/>
        <v>#N/A</v>
      </c>
      <c r="AA10" s="246" t="e">
        <f t="shared" si="9"/>
        <v>#N/A</v>
      </c>
      <c r="AB10" s="246" t="e">
        <f t="shared" si="10"/>
        <v>#N/A</v>
      </c>
      <c r="AC10" s="246" t="e">
        <f t="shared" si="11"/>
        <v>#N/A</v>
      </c>
      <c r="AD10" s="247" t="e">
        <f t="shared" si="12"/>
        <v>#N/A</v>
      </c>
      <c r="AE10" s="37" t="e">
        <f>IF($D10="","",VLOOKUP($D10,CTBat!$G$10:$BR$203,AE$1,FALSE))</f>
        <v>#N/A</v>
      </c>
      <c r="AF10" s="37" t="e">
        <f>IF($D10="","",VLOOKUP($D10,CTBat!$G$10:$BR$203,AF$1,FALSE))</f>
        <v>#N/A</v>
      </c>
      <c r="AG10" s="37" t="e">
        <f>IF($D10="","",VLOOKUP($D10,CTBat!$G$10:$BR$203,AG$1,FALSE))</f>
        <v>#N/A</v>
      </c>
      <c r="AH10" s="37" t="e">
        <f>IF($D10="","",VLOOKUP($D10,CTBat!$G$10:$BR$203,AH$1,FALSE))</f>
        <v>#N/A</v>
      </c>
      <c r="AI10" s="37" t="e">
        <f>IF($D10="","",VLOOKUP($D10,CTBat!$G$10:$BR$203,AI$1,FALSE))</f>
        <v>#N/A</v>
      </c>
      <c r="AJ10" s="58" t="e">
        <f>IF($D10="","",VLOOKUP($D10,CTBat!$G$10:$BR$203,AJ$1,FALSE))</f>
        <v>#N/A</v>
      </c>
      <c r="AK10" s="38" t="e">
        <f>IF($D10="","",VLOOKUP($D10,CTBat!$G$10:$BR$203,AK$1,FALSE))</f>
        <v>#N/A</v>
      </c>
      <c r="AL10" s="67" t="e">
        <f t="shared" si="13"/>
        <v>#N/A</v>
      </c>
      <c r="AM10" s="53" t="e">
        <f t="shared" si="14"/>
        <v>#N/A</v>
      </c>
      <c r="AN10" s="246" t="e">
        <f t="shared" si="15"/>
        <v>#N/A</v>
      </c>
      <c r="AO10" s="246" t="e">
        <f t="shared" si="16"/>
        <v>#N/A</v>
      </c>
      <c r="AP10" s="246" t="e">
        <f t="shared" si="17"/>
        <v>#N/A</v>
      </c>
      <c r="AQ10" s="246" t="e">
        <f t="shared" si="18"/>
        <v>#N/A</v>
      </c>
      <c r="AR10" s="246" t="e">
        <f t="shared" si="19"/>
        <v>#N/A</v>
      </c>
      <c r="AS10" s="246" t="e">
        <f t="shared" si="20"/>
        <v>#N/A</v>
      </c>
      <c r="AT10" s="246" t="e">
        <f t="shared" si="21"/>
        <v>#N/A</v>
      </c>
      <c r="AU10" s="247" t="e">
        <f t="shared" si="22"/>
        <v>#N/A</v>
      </c>
      <c r="AV10" s="58" t="e">
        <f>IF($D10="","",VLOOKUP($D10,CTBat!$G$10:$BR$203,AV$1,FALSE))</f>
        <v>#N/A</v>
      </c>
      <c r="AW10" s="37" t="e">
        <f>IF($D10="","",VLOOKUP($D10,CTBat!$G$10:$BR$203,AW$1,FALSE))</f>
        <v>#N/A</v>
      </c>
      <c r="AX10" s="37" t="e">
        <f>IF($D10="","",VLOOKUP($D10,CTBat!$G$10:$BR$203,AX$1,FALSE))</f>
        <v>#N/A</v>
      </c>
      <c r="AY10" s="37" t="e">
        <f>IF($D10="","",VLOOKUP($D10,CTBat!$G$10:$BR$203,AY$1,FALSE))</f>
        <v>#N/A</v>
      </c>
      <c r="AZ10" s="38" t="e">
        <f>IF($D10="","",VLOOKUP($D10,CTBat!$G$10:$BR$203,AZ$1,FALSE))</f>
        <v>#N/A</v>
      </c>
      <c r="BA10" s="67" t="e">
        <f t="shared" si="23"/>
        <v>#N/A</v>
      </c>
    </row>
    <row r="11" spans="1:53">
      <c r="A11">
        <v>9</v>
      </c>
      <c r="B11" s="261"/>
      <c r="C11" s="39" t="s">
        <v>101</v>
      </c>
      <c r="D11" s="40"/>
      <c r="E11" s="40" t="str">
        <f>IF($D11="","",VLOOKUP($D11,CTBat!$G$10:$BR$203,E$1,FALSE))</f>
        <v/>
      </c>
      <c r="F11" s="40" t="str">
        <f>IF($D11="","",VLOOKUP($D11,CTBat!$G$10:$BR$203,F$1,FALSE))</f>
        <v/>
      </c>
      <c r="G11" s="54" t="str">
        <f t="shared" si="3"/>
        <v/>
      </c>
      <c r="H11" s="244" t="str">
        <f t="shared" si="4"/>
        <v/>
      </c>
      <c r="I11" s="244" t="str">
        <f t="shared" si="5"/>
        <v/>
      </c>
      <c r="J11" s="244" t="str">
        <f t="shared" si="24"/>
        <v/>
      </c>
      <c r="K11" s="59" t="str">
        <f>IF($D11="","",VLOOKUP($D11,CTBat!$G$10:$BR$203,K$1,FALSE))</f>
        <v/>
      </c>
      <c r="L11" s="40" t="str">
        <f>IF($D11="","",VLOOKUP($D11,CTBat!$G$10:$BR$203,L$1,FALSE))</f>
        <v/>
      </c>
      <c r="M11" s="42" t="str">
        <f>IF($D11="","",VLOOKUP($D11,CTBat!$G$10:$BR$203,M$1,FALSE))</f>
        <v/>
      </c>
      <c r="N11" s="40" t="str">
        <f>IF($D11="","",VLOOKUP($D11,CTBat!$G$10:$BR$203,N$1,FALSE))</f>
        <v/>
      </c>
      <c r="O11" s="40" t="str">
        <f>IF($D11="","",VLOOKUP($D11,CTBat!$G$10:$BR$203,O$1,FALSE))</f>
        <v/>
      </c>
      <c r="P11" s="40" t="str">
        <f>IF($D11="","",VLOOKUP($D11,CTBat!$G$10:$BR$203,P$1,FALSE))</f>
        <v/>
      </c>
      <c r="Q11" s="40" t="str">
        <f>IF($D11="","",VLOOKUP($D11,CTBat!$G$10:$BR$203,Q$1,FALSE))</f>
        <v/>
      </c>
      <c r="R11" s="40" t="str">
        <f>IF($D11="","",VLOOKUP($D11,CTBat!$G$10:$BR$203,R$1,FALSE))</f>
        <v/>
      </c>
      <c r="S11" s="40" t="str">
        <f>IF($D11="","",VLOOKUP($D11,CTBat!$G$10:$BR$203,S$1,FALSE))</f>
        <v/>
      </c>
      <c r="T11" s="40" t="str">
        <f>IF($D11="","",VLOOKUP($D11,CTBat!$G$10:$BR$203,T$1,FALSE))</f>
        <v/>
      </c>
      <c r="U11" s="42" t="str">
        <f>IF($D11="","",VLOOKUP($D11,CTBat!$G$10:$BR$203,U$1,FALSE))</f>
        <v/>
      </c>
      <c r="V11" s="54" t="str">
        <f t="shared" si="1"/>
        <v/>
      </c>
      <c r="W11" s="244" t="str">
        <f t="shared" si="2"/>
        <v/>
      </c>
      <c r="X11" s="244" t="str">
        <f t="shared" si="6"/>
        <v/>
      </c>
      <c r="Y11" s="244" t="str">
        <f t="shared" si="7"/>
        <v/>
      </c>
      <c r="Z11" s="244" t="str">
        <f t="shared" si="8"/>
        <v/>
      </c>
      <c r="AA11" s="244" t="str">
        <f t="shared" si="9"/>
        <v/>
      </c>
      <c r="AB11" s="244" t="str">
        <f t="shared" si="10"/>
        <v/>
      </c>
      <c r="AC11" s="244" t="str">
        <f t="shared" si="11"/>
        <v/>
      </c>
      <c r="AD11" s="245" t="str">
        <f t="shared" si="12"/>
        <v/>
      </c>
      <c r="AE11" s="40" t="str">
        <f>IF($D11="","",VLOOKUP($D11,CTBat!$G$10:$BR$203,AE$1,FALSE))</f>
        <v/>
      </c>
      <c r="AF11" s="40" t="str">
        <f>IF($D11="","",VLOOKUP($D11,CTBat!$G$10:$BR$203,AF$1,FALSE))</f>
        <v/>
      </c>
      <c r="AG11" s="40" t="str">
        <f>IF($D11="","",VLOOKUP($D11,CTBat!$G$10:$BR$203,AG$1,FALSE))</f>
        <v/>
      </c>
      <c r="AH11" s="40" t="str">
        <f>IF($D11="","",VLOOKUP($D11,CTBat!$G$10:$BR$203,AH$1,FALSE))</f>
        <v/>
      </c>
      <c r="AI11" s="40" t="str">
        <f>IF($D11="","",VLOOKUP($D11,CTBat!$G$10:$BR$203,AI$1,FALSE))</f>
        <v/>
      </c>
      <c r="AJ11" s="59" t="str">
        <f>IF($D11="","",VLOOKUP($D11,CTBat!$G$10:$BR$203,AJ$1,FALSE))</f>
        <v/>
      </c>
      <c r="AK11" s="42" t="str">
        <f>IF($D11="","",VLOOKUP($D11,CTBat!$G$10:$BR$203,AK$1,FALSE))</f>
        <v/>
      </c>
      <c r="AL11" s="68" t="str">
        <f t="shared" si="13"/>
        <v/>
      </c>
      <c r="AM11" s="54" t="str">
        <f t="shared" si="14"/>
        <v/>
      </c>
      <c r="AN11" s="244" t="str">
        <f t="shared" si="15"/>
        <v/>
      </c>
      <c r="AO11" s="244" t="str">
        <f t="shared" si="16"/>
        <v/>
      </c>
      <c r="AP11" s="244" t="str">
        <f t="shared" si="17"/>
        <v/>
      </c>
      <c r="AQ11" s="244" t="str">
        <f t="shared" si="18"/>
        <v/>
      </c>
      <c r="AR11" s="244" t="str">
        <f t="shared" si="19"/>
        <v/>
      </c>
      <c r="AS11" s="244" t="str">
        <f t="shared" si="20"/>
        <v/>
      </c>
      <c r="AT11" s="244" t="str">
        <f t="shared" si="21"/>
        <v/>
      </c>
      <c r="AU11" s="245" t="str">
        <f t="shared" si="22"/>
        <v/>
      </c>
      <c r="AV11" s="59" t="str">
        <f>IF($D11="","",VLOOKUP($D11,CTBat!$G$10:$BR$203,AV$1,FALSE))</f>
        <v/>
      </c>
      <c r="AW11" s="40" t="str">
        <f>IF($D11="","",VLOOKUP($D11,CTBat!$G$10:$BR$203,AW$1,FALSE))</f>
        <v/>
      </c>
      <c r="AX11" s="40" t="str">
        <f>IF($D11="","",VLOOKUP($D11,CTBat!$G$10:$BR$203,AX$1,FALSE))</f>
        <v/>
      </c>
      <c r="AY11" s="40" t="str">
        <f>IF($D11="","",VLOOKUP($D11,CTBat!$G$10:$BR$203,AY$1,FALSE))</f>
        <v/>
      </c>
      <c r="AZ11" s="42" t="str">
        <f>IF($D11="","",VLOOKUP($D11,CTBat!$G$10:$BR$203,AZ$1,FALSE))</f>
        <v/>
      </c>
      <c r="BA11" s="68" t="str">
        <f t="shared" si="23"/>
        <v/>
      </c>
    </row>
    <row r="13" spans="1:53" s="24" customFormat="1" ht="196.5">
      <c r="A13" s="25" t="s">
        <v>193</v>
      </c>
      <c r="B13" s="256" t="s">
        <v>485</v>
      </c>
      <c r="C13" s="241" t="s">
        <v>125</v>
      </c>
      <c r="D13" s="44" t="str">
        <f>"Player ("&amp;COUNTA(D14:D19)&amp;")"</f>
        <v>Player (1)</v>
      </c>
      <c r="E13" s="44" t="s">
        <v>91</v>
      </c>
      <c r="F13" s="44" t="s">
        <v>101</v>
      </c>
      <c r="G13" s="51" t="str">
        <f>"Only 1 guy who only plays 2B ("&amp;SUM(G14:G19)&amp;")"</f>
        <v>Only 1 guy who only plays 2B (0)</v>
      </c>
      <c r="H13" s="46" t="str">
        <f>"2 Guys Who Play SS ("&amp;SUM(H14:H19)&amp;")"</f>
        <v>2 Guys Who Play SS (0)</v>
      </c>
      <c r="I13" s="46" t="str">
        <f>"2 guys with 3B arm ("&amp;SUM(I14:I19)&amp;")"</f>
        <v>2 guys with 3B arm (1)</v>
      </c>
      <c r="J13" s="49" t="s">
        <v>41</v>
      </c>
      <c r="K13" s="47" t="s">
        <v>136</v>
      </c>
      <c r="L13" s="47" t="s">
        <v>134</v>
      </c>
      <c r="M13" s="47" t="s">
        <v>135</v>
      </c>
      <c r="N13" s="63" t="s">
        <v>92</v>
      </c>
      <c r="O13" s="48" t="s">
        <v>94</v>
      </c>
      <c r="P13" s="48" t="s">
        <v>95</v>
      </c>
      <c r="Q13" s="48" t="s">
        <v>96</v>
      </c>
      <c r="R13" s="48" t="s">
        <v>97</v>
      </c>
      <c r="S13" s="48" t="s">
        <v>98</v>
      </c>
      <c r="T13" s="48" t="s">
        <v>99</v>
      </c>
      <c r="U13" s="49" t="s">
        <v>100</v>
      </c>
      <c r="V13" s="45" t="s">
        <v>137</v>
      </c>
      <c r="W13" s="45" t="s">
        <v>181</v>
      </c>
      <c r="X13" s="45" t="s">
        <v>138</v>
      </c>
      <c r="Y13" s="45" t="s">
        <v>139</v>
      </c>
      <c r="Z13" s="45" t="s">
        <v>140</v>
      </c>
      <c r="AA13" s="45" t="s">
        <v>141</v>
      </c>
      <c r="AB13" s="45" t="s">
        <v>142</v>
      </c>
      <c r="AC13" s="45" t="s">
        <v>144</v>
      </c>
      <c r="AD13" s="45" t="s">
        <v>143</v>
      </c>
      <c r="AE13" s="63" t="s">
        <v>147</v>
      </c>
      <c r="AF13" s="48" t="s">
        <v>148</v>
      </c>
      <c r="AG13" s="48" t="s">
        <v>149</v>
      </c>
      <c r="AH13" s="48" t="s">
        <v>150</v>
      </c>
      <c r="AI13" s="48" t="s">
        <v>29</v>
      </c>
      <c r="AJ13" s="48" t="s">
        <v>151</v>
      </c>
      <c r="AK13" s="49" t="s">
        <v>152</v>
      </c>
      <c r="AL13" s="66" t="s">
        <v>157</v>
      </c>
      <c r="AM13" s="45" t="s">
        <v>137</v>
      </c>
      <c r="AN13" s="45" t="s">
        <v>181</v>
      </c>
      <c r="AO13" s="45" t="s">
        <v>138</v>
      </c>
      <c r="AP13" s="45" t="s">
        <v>139</v>
      </c>
      <c r="AQ13" s="45" t="s">
        <v>140</v>
      </c>
      <c r="AR13" s="45" t="s">
        <v>141</v>
      </c>
      <c r="AS13" s="45" t="s">
        <v>142</v>
      </c>
      <c r="AT13" s="45" t="s">
        <v>144</v>
      </c>
      <c r="AU13" s="45" t="s">
        <v>143</v>
      </c>
      <c r="AV13" s="63" t="s">
        <v>147</v>
      </c>
      <c r="AW13" s="48" t="s">
        <v>148</v>
      </c>
      <c r="AX13" s="48" t="s">
        <v>149</v>
      </c>
      <c r="AY13" s="48" t="s">
        <v>150</v>
      </c>
      <c r="AZ13" s="49" t="s">
        <v>29</v>
      </c>
      <c r="BA13" s="66" t="s">
        <v>197</v>
      </c>
    </row>
    <row r="14" spans="1:53">
      <c r="A14">
        <v>1</v>
      </c>
      <c r="B14" s="260"/>
      <c r="C14" s="36" t="s">
        <v>95</v>
      </c>
      <c r="D14" s="37"/>
      <c r="E14" s="37" t="str">
        <f>IF($D14="","",VLOOKUP($D14,CTBat!$G$10:$BR$203,E$1,FALSE))</f>
        <v/>
      </c>
      <c r="F14" s="33" t="str">
        <f>IF($D14="","",VLOOKUP($D14,CTBat!$G$10:$BR$203,F$1,FALSE))</f>
        <v/>
      </c>
      <c r="G14" s="53" t="str">
        <f>IF($D14="","",IF(AND(P14&gt;0,P14=SUM(N14:U14)),1,0))</f>
        <v/>
      </c>
      <c r="H14" s="246" t="str">
        <f t="shared" ref="H14:H18" si="25">IF($D14="","",IF(R14&lt;&gt;"-",1,0))</f>
        <v/>
      </c>
      <c r="I14" s="246" t="str">
        <f>IF($D14="","",IF(AND(L14&gt;5,Q14&lt;&gt;"-"),1,0))</f>
        <v/>
      </c>
      <c r="J14" s="247" t="str">
        <f>IF($D14="","","-")</f>
        <v/>
      </c>
      <c r="K14" s="37" t="str">
        <f>IF($D14="","",VLOOKUP($D14,CTBat!$G$10:$BR$203,K$1,FALSE))</f>
        <v/>
      </c>
      <c r="L14" s="37" t="str">
        <f>IF($D14="","",VLOOKUP($D14,CTBat!$G$10:$BR$203,L$1,FALSE))</f>
        <v/>
      </c>
      <c r="M14" s="37" t="str">
        <f>IF($D14="","",VLOOKUP($D14,CTBat!$G$10:$BR$203,M$1,FALSE))</f>
        <v/>
      </c>
      <c r="N14" s="58" t="str">
        <f>IF($D14="","",VLOOKUP($D14,CTBat!$G$10:$BR$203,N$1,FALSE))</f>
        <v/>
      </c>
      <c r="O14" s="37" t="str">
        <f>IF($D14="","",VLOOKUP($D14,CTBat!$G$10:$BR$203,O$1,FALSE))</f>
        <v/>
      </c>
      <c r="P14" s="37" t="str">
        <f>IF($D14="","",VLOOKUP($D14,CTBat!$G$10:$BR$203,P$1,FALSE))</f>
        <v/>
      </c>
      <c r="Q14" s="37" t="str">
        <f>IF($D14="","",VLOOKUP($D14,CTBat!$G$10:$BR$203,Q$1,FALSE))</f>
        <v/>
      </c>
      <c r="R14" s="37" t="str">
        <f>IF($D14="","",VLOOKUP($D14,CTBat!$G$10:$BR$203,R$1,FALSE))</f>
        <v/>
      </c>
      <c r="S14" s="37" t="str">
        <f>IF($D14="","",VLOOKUP($D14,CTBat!$G$10:$BR$203,S$1,FALSE))</f>
        <v/>
      </c>
      <c r="T14" s="37" t="str">
        <f>IF($D14="","",VLOOKUP($D14,CTBat!$G$10:$BR$203,T$1,FALSE))</f>
        <v/>
      </c>
      <c r="U14" s="38" t="str">
        <f>IF($D14="","",VLOOKUP($D14,CTBat!$G$10:$BR$203,U$1,FALSE))</f>
        <v/>
      </c>
      <c r="V14" s="246" t="str">
        <f t="shared" ref="V14:V15" si="26">IF($D14="","",IF(OR(AE14+AH14&gt;14,AND(OR(AE14+AH14&gt;12,AND(AE14&gt;6,AH14&gt;6)),AJ14&gt;6,OR(AK14&gt;=AJ14,AK14&gt;6))),1,0))</f>
        <v/>
      </c>
      <c r="W14" s="246" t="str">
        <f t="shared" ref="W14:W19" si="27">IF($D14="","",IF(OR(AND(AE14&gt;6,AI14&gt;6),AE14+AH14&gt;12),1,0))</f>
        <v/>
      </c>
      <c r="X14" s="246" t="str">
        <f>IF($D14="","",IF(AND(AE14&gt;6,AG14&gt;6,AH14&gt;6),1,0))</f>
        <v/>
      </c>
      <c r="Y14" s="246" t="str">
        <f t="shared" ref="Y14:Y19" si="28">IF($D14="","",IF(AND(AG14&gt;7,OR(AE14&gt;6,AH14&gt;6)),1,0))</f>
        <v/>
      </c>
      <c r="Z14" s="246" t="str">
        <f t="shared" ref="Z14:Z19" si="29">IF($D14="","",IF(AND(AG14&gt;6,OR(AE14&gt;6,AH14&gt;6)),1,0))</f>
        <v/>
      </c>
      <c r="AA14" s="246" t="str">
        <f t="shared" ref="AA14:AA19" si="30">IF($D14="","",IF(AND(OR(AE14&gt;6,AG14&gt;6),OR(AE14&gt;6,AH14&gt;6)),1,0))</f>
        <v/>
      </c>
      <c r="AB14" s="246" t="str">
        <f t="shared" ref="AB14:AB19" si="31">IF($D14="","",IF(AND(AE14&gt;4,OR(AE14&gt;6,AG14&gt;6,AH14&gt;6)),1,0))</f>
        <v/>
      </c>
      <c r="AC14" s="246" t="str">
        <f t="shared" ref="AC14:AC19" si="32">IF($D14="","",IF(AND(AE14&gt;4,OR(AE14&gt;6,AF14&gt;6,AG14&gt;6,AH14&gt;6)),1,0))</f>
        <v/>
      </c>
      <c r="AD14" s="246" t="str">
        <f t="shared" ref="AD14:AD19" si="33">IF($D14="","",IF(AND(AE14&gt;4,MAX(AE14:AI14)&gt;6),1,0))</f>
        <v/>
      </c>
      <c r="AE14" s="58" t="str">
        <f>IF($D14="","",VLOOKUP($D14,CTBat!$G$10:$BR$203,AE$1,FALSE))</f>
        <v/>
      </c>
      <c r="AF14" s="37" t="str">
        <f>IF($D14="","",VLOOKUP($D14,CTBat!$G$10:$BR$203,AF$1,FALSE))</f>
        <v/>
      </c>
      <c r="AG14" s="37" t="str">
        <f>IF($D14="","",VLOOKUP($D14,CTBat!$G$10:$BR$203,AG$1,FALSE))</f>
        <v/>
      </c>
      <c r="AH14" s="37" t="str">
        <f>IF($D14="","",VLOOKUP($D14,CTBat!$G$10:$BR$203,AH$1,FALSE))</f>
        <v/>
      </c>
      <c r="AI14" s="37" t="str">
        <f>IF($D14="","",VLOOKUP($D14,CTBat!$G$10:$BR$203,AI$1,FALSE))</f>
        <v/>
      </c>
      <c r="AJ14" s="37" t="str">
        <f>IF($D14="","",VLOOKUP($D14,CTBat!$G$10:$BR$203,AJ$1,FALSE))</f>
        <v/>
      </c>
      <c r="AK14" s="38" t="str">
        <f>IF($D14="","",VLOOKUP($D14,CTBat!$G$10:$BR$203,AK$1,FALSE))</f>
        <v/>
      </c>
      <c r="AL14" s="67" t="str">
        <f>IF($D14="","",(5*AE14+4*AG14+3*AH14+2*AF14+1*AI14+0.5*(AVERAGE(AE14:AF14))+0.5*AVERAGE(AE14,AI14)+1*(AVERAGE(AE14,AG14))+1*AVERAGE(AE14,AH14))/(5+4+3+2+1+0.5+0.5+1+1))</f>
        <v/>
      </c>
      <c r="AM14" s="246" t="str">
        <f t="shared" ref="AM14:AM19" si="34">IF($D14="","",IF(AND(OR(AV14+AY14&gt;12,AND(AV14&gt;6,AY14&gt;6)),AJ14&gt;6,OR(AK14&gt;=AJ14,AK14&gt;6)),1,0))</f>
        <v/>
      </c>
      <c r="AN14" s="246" t="str">
        <f t="shared" ref="AN14:AN19" si="35">IF($D14="","",IF(OR(AND(AV14&gt;6,AZ14&gt;6),AV14+AY14&gt;12),1,0))</f>
        <v/>
      </c>
      <c r="AO14" s="246" t="str">
        <f t="shared" ref="AO14:AO19" si="36">IF($D14="","",IF(AND(AV14&gt;6,AX14&gt;6,AY14&gt;6),1,0))</f>
        <v/>
      </c>
      <c r="AP14" s="246" t="str">
        <f t="shared" ref="AP14:AP19" si="37">IF($D14="","",IF(AND(AX14&gt;7,OR(AV14&gt;6,AY14&gt;6)),1,0))</f>
        <v/>
      </c>
      <c r="AQ14" s="246" t="str">
        <f t="shared" ref="AQ14:AQ19" si="38">IF($D14="","",IF(AND(AX14&gt;6,OR(AV14&gt;6,AY14&gt;6)),1,0))</f>
        <v/>
      </c>
      <c r="AR14" s="246" t="str">
        <f t="shared" ref="AR14:AR19" si="39">IF($D14="","",IF(AND(OR(AV14&gt;6,AX14&gt;6),OR(AV14&gt;6,AY14&gt;6)),1,0))</f>
        <v/>
      </c>
      <c r="AS14" s="246" t="str">
        <f t="shared" ref="AS14:AS19" si="40">IF($D14="","",IF(AND(AV14&gt;4,OR(AV14&gt;6,AX14&gt;6,AY14&gt;6)),1,0))</f>
        <v/>
      </c>
      <c r="AT14" s="246" t="str">
        <f t="shared" ref="AT14:AT19" si="41">IF($D14="","",IF(AND(AV14&gt;4,OR(AV14&gt;6,AW14&gt;6,AX14&gt;6,AY14&gt;6)),1,0))</f>
        <v/>
      </c>
      <c r="AU14" s="246" t="str">
        <f t="shared" ref="AU14:AU19" si="42">IF($D14="","",IF(AND(AV14&gt;4,MAX(AV14:AZ14)&gt;6),1,0))</f>
        <v/>
      </c>
      <c r="AV14" s="58" t="str">
        <f>IF($D14="","",VLOOKUP($D14,CTBat!$G$10:$BR$203,AV$1,FALSE))</f>
        <v/>
      </c>
      <c r="AW14" s="37" t="str">
        <f>IF($D14="","",VLOOKUP($D14,CTBat!$G$10:$BR$203,AW$1,FALSE))</f>
        <v/>
      </c>
      <c r="AX14" s="37" t="str">
        <f>IF($D14="","",VLOOKUP($D14,CTBat!$G$10:$BR$203,AX$1,FALSE))</f>
        <v/>
      </c>
      <c r="AY14" s="37" t="str">
        <f>IF($D14="","",VLOOKUP($D14,CTBat!$G$10:$BR$203,AY$1,FALSE))</f>
        <v/>
      </c>
      <c r="AZ14" s="38" t="str">
        <f>IF($D14="","",VLOOKUP($D14,CTBat!$G$10:$BR$203,AZ$1,FALSE))</f>
        <v/>
      </c>
      <c r="BA14" s="67" t="str">
        <f t="shared" ref="BA14:BA19" si="43">IF($D14="","",(5*AV14+4*AX14+3*AY14+2*AW14+1*AZ14+0.5*(AVERAGE(AV14:AW14))+0.5*AVERAGE(AV14,AZ14)+1*(AVERAGE(AV14,AX14))+1*AVERAGE(AV14,AY14))/(5+4+3+2+1+0.5+0.5+1+1))</f>
        <v/>
      </c>
    </row>
    <row r="15" spans="1:53">
      <c r="A15">
        <v>2</v>
      </c>
      <c r="B15" s="260">
        <v>2020</v>
      </c>
      <c r="C15" s="36" t="s">
        <v>96</v>
      </c>
      <c r="D15" s="37" t="s">
        <v>386</v>
      </c>
      <c r="E15" s="37">
        <f>IF($D15="","",VLOOKUP($D15,CTBat!$G$10:$BR$203,E$1,FALSE))</f>
        <v>24</v>
      </c>
      <c r="F15" s="37" t="str">
        <f>IF($D15="","",VLOOKUP($D15,CTBat!$G$10:$BR$203,F$1,FALSE))</f>
        <v>R</v>
      </c>
      <c r="G15" s="53">
        <f t="shared" ref="G15:G19" si="44">IF($D15="","",IF(AND(P15&gt;0,P15=SUM(N15:U15)),1,0))</f>
        <v>0</v>
      </c>
      <c r="H15" s="246">
        <f t="shared" si="25"/>
        <v>0</v>
      </c>
      <c r="I15" s="246">
        <f>IF($D15="","",IF(AND(L15&gt;5,Q15&lt;&gt;"-"),1,0))</f>
        <v>1</v>
      </c>
      <c r="J15" s="247" t="str">
        <f t="shared" ref="J15:J19" si="45">IF($D15="","","-")</f>
        <v>-</v>
      </c>
      <c r="K15" s="37">
        <f>IF($D15="","",VLOOKUP($D15,CTBat!$G$10:$BR$203,K$1,FALSE))</f>
        <v>1</v>
      </c>
      <c r="L15" s="37">
        <f>IF($D15="","",VLOOKUP($D15,CTBat!$G$10:$BR$203,L$1,FALSE))</f>
        <v>9</v>
      </c>
      <c r="M15" s="37">
        <f>IF($D15="","",VLOOKUP($D15,CTBat!$G$10:$BR$203,M$1,FALSE))</f>
        <v>9</v>
      </c>
      <c r="N15" s="58" t="str">
        <f>IF($D15="","",VLOOKUP($D15,CTBat!$G$10:$BR$203,N$1,FALSE))</f>
        <v>-</v>
      </c>
      <c r="O15" s="37">
        <f>IF($D15="","",VLOOKUP($D15,CTBat!$G$10:$BR$203,O$1,FALSE))</f>
        <v>7</v>
      </c>
      <c r="P15" s="37" t="str">
        <f>IF($D15="","",VLOOKUP($D15,CTBat!$G$10:$BR$203,P$1,FALSE))</f>
        <v>-</v>
      </c>
      <c r="Q15" s="37">
        <f>IF($D15="","",VLOOKUP($D15,CTBat!$G$10:$BR$203,Q$1,FALSE))</f>
        <v>8</v>
      </c>
      <c r="R15" s="37" t="str">
        <f>IF($D15="","",VLOOKUP($D15,CTBat!$G$10:$BR$203,R$1,FALSE))</f>
        <v>-</v>
      </c>
      <c r="S15" s="37">
        <f>IF($D15="","",VLOOKUP($D15,CTBat!$G$10:$BR$203,S$1,FALSE))</f>
        <v>4</v>
      </c>
      <c r="T15" s="37">
        <f>IF($D15="","",VLOOKUP($D15,CTBat!$G$10:$BR$203,T$1,FALSE))</f>
        <v>2</v>
      </c>
      <c r="U15" s="38">
        <f>IF($D15="","",VLOOKUP($D15,CTBat!$G$10:$BR$203,U$1,FALSE))</f>
        <v>4</v>
      </c>
      <c r="V15" s="246">
        <f t="shared" si="26"/>
        <v>0</v>
      </c>
      <c r="W15" s="246">
        <f t="shared" si="27"/>
        <v>0</v>
      </c>
      <c r="X15" s="246">
        <f t="shared" ref="X15:X19" si="46">IF($D15="","",IF(AND(AE15&gt;6,AG15&gt;6,AH15&gt;6),1,0))</f>
        <v>0</v>
      </c>
      <c r="Y15" s="246">
        <f t="shared" si="28"/>
        <v>0</v>
      </c>
      <c r="Z15" s="246">
        <f t="shared" si="29"/>
        <v>0</v>
      </c>
      <c r="AA15" s="246">
        <f t="shared" si="30"/>
        <v>1</v>
      </c>
      <c r="AB15" s="246">
        <f t="shared" si="31"/>
        <v>1</v>
      </c>
      <c r="AC15" s="246">
        <f t="shared" si="32"/>
        <v>1</v>
      </c>
      <c r="AD15" s="246">
        <f t="shared" si="33"/>
        <v>1</v>
      </c>
      <c r="AE15" s="58">
        <f>IF($D15="","",VLOOKUP($D15,CTBat!$G$10:$BR$203,AE$1,FALSE))</f>
        <v>7</v>
      </c>
      <c r="AF15" s="37">
        <f>IF($D15="","",VLOOKUP($D15,CTBat!$G$10:$BR$203,AF$1,FALSE))</f>
        <v>5</v>
      </c>
      <c r="AG15" s="37">
        <f>IF($D15="","",VLOOKUP($D15,CTBat!$G$10:$BR$203,AG$1,FALSE))</f>
        <v>5</v>
      </c>
      <c r="AH15" s="37">
        <f>IF($D15="","",VLOOKUP($D15,CTBat!$G$10:$BR$203,AH$1,FALSE))</f>
        <v>3</v>
      </c>
      <c r="AI15" s="37">
        <f>IF($D15="","",VLOOKUP($D15,CTBat!$G$10:$BR$203,AI$1,FALSE))</f>
        <v>4</v>
      </c>
      <c r="AJ15" s="37">
        <f>IF($D15="","",VLOOKUP($D15,CTBat!$G$10:$BR$203,AJ$1,FALSE))</f>
        <v>2</v>
      </c>
      <c r="AK15" s="38">
        <f>IF($D15="","",VLOOKUP($D15,CTBat!$G$10:$BR$203,AK$1,FALSE))</f>
        <v>5</v>
      </c>
      <c r="AL15" s="67">
        <f t="shared" ref="AL15:AL19" si="47">IF($D15="","",(5*AE15+4*AG15+3*AH15+2*AF15+1*AI15+0.5*(AVERAGE(AE15:AF15))+0.5*AVERAGE(AE15,AI15)+1*(AVERAGE(AE15,AG15))+1*AVERAGE(AE15,AH15))/(5+4+3+2+1+0.5+0.5+1+1))</f>
        <v>5.2638888888888893</v>
      </c>
      <c r="AM15" s="246">
        <f t="shared" si="34"/>
        <v>0</v>
      </c>
      <c r="AN15" s="246">
        <f t="shared" si="35"/>
        <v>1</v>
      </c>
      <c r="AO15" s="246">
        <f t="shared" si="36"/>
        <v>0</v>
      </c>
      <c r="AP15" s="246">
        <f t="shared" si="37"/>
        <v>0</v>
      </c>
      <c r="AQ15" s="246">
        <f t="shared" si="38"/>
        <v>1</v>
      </c>
      <c r="AR15" s="246">
        <f t="shared" si="39"/>
        <v>1</v>
      </c>
      <c r="AS15" s="246">
        <f t="shared" si="40"/>
        <v>1</v>
      </c>
      <c r="AT15" s="246">
        <f t="shared" si="41"/>
        <v>1</v>
      </c>
      <c r="AU15" s="246">
        <f t="shared" si="42"/>
        <v>1</v>
      </c>
      <c r="AV15" s="58">
        <f>IF($D15="","",VLOOKUP($D15,CTBat!$G$10:$BR$203,AV$1,FALSE))</f>
        <v>8</v>
      </c>
      <c r="AW15" s="37">
        <f>IF($D15="","",VLOOKUP($D15,CTBat!$G$10:$BR$203,AW$1,FALSE))</f>
        <v>5</v>
      </c>
      <c r="AX15" s="37">
        <f>IF($D15="","",VLOOKUP($D15,CTBat!$G$10:$BR$203,AX$1,FALSE))</f>
        <v>7</v>
      </c>
      <c r="AY15" s="37">
        <f>IF($D15="","",VLOOKUP($D15,CTBat!$G$10:$BR$203,AY$1,FALSE))</f>
        <v>5</v>
      </c>
      <c r="AZ15" s="38">
        <f>IF($D15="","",VLOOKUP($D15,CTBat!$G$10:$BR$203,AZ$1,FALSE))</f>
        <v>5</v>
      </c>
      <c r="BA15" s="67">
        <f t="shared" si="43"/>
        <v>6.583333333333333</v>
      </c>
    </row>
    <row r="16" spans="1:53">
      <c r="A16">
        <v>3</v>
      </c>
      <c r="B16" s="260"/>
      <c r="C16" s="36" t="s">
        <v>97</v>
      </c>
      <c r="D16" s="37"/>
      <c r="E16" s="37" t="str">
        <f>IF($D16="","",VLOOKUP($D16,CTBat!$G$10:$BR$203,E$1,FALSE))</f>
        <v/>
      </c>
      <c r="F16" s="37" t="str">
        <f>IF($D16="","",VLOOKUP($D16,CTBat!$G$10:$BR$203,F$1,FALSE))</f>
        <v/>
      </c>
      <c r="G16" s="53" t="str">
        <f t="shared" si="44"/>
        <v/>
      </c>
      <c r="H16" s="246" t="str">
        <f t="shared" si="25"/>
        <v/>
      </c>
      <c r="I16" s="246" t="str">
        <f t="shared" ref="I16:I19" si="48">IF($D16="","",IF(AND(L16&gt;5,Q16&lt;&gt;"-"),1,0))</f>
        <v/>
      </c>
      <c r="J16" s="247" t="str">
        <f t="shared" si="45"/>
        <v/>
      </c>
      <c r="K16" s="37" t="str">
        <f>IF($D16="","",VLOOKUP($D16,CTBat!$G$10:$BR$203,K$1,FALSE))</f>
        <v/>
      </c>
      <c r="L16" s="37" t="str">
        <f>IF($D16="","",VLOOKUP($D16,CTBat!$G$10:$BR$203,L$1,FALSE))</f>
        <v/>
      </c>
      <c r="M16" s="37" t="str">
        <f>IF($D16="","",VLOOKUP($D16,CTBat!$G$10:$BR$203,M$1,FALSE))</f>
        <v/>
      </c>
      <c r="N16" s="58" t="str">
        <f>IF($D16="","",VLOOKUP($D16,CTBat!$G$10:$BR$203,N$1,FALSE))</f>
        <v/>
      </c>
      <c r="O16" s="37" t="str">
        <f>IF($D16="","",VLOOKUP($D16,CTBat!$G$10:$BR$203,O$1,FALSE))</f>
        <v/>
      </c>
      <c r="P16" s="37" t="str">
        <f>IF($D16="","",VLOOKUP($D16,CTBat!$G$10:$BR$203,P$1,FALSE))</f>
        <v/>
      </c>
      <c r="Q16" s="37" t="str">
        <f>IF($D16="","",VLOOKUP($D16,CTBat!$G$10:$BR$203,Q$1,FALSE))</f>
        <v/>
      </c>
      <c r="R16" s="37" t="str">
        <f>IF($D16="","",VLOOKUP($D16,CTBat!$G$10:$BR$203,R$1,FALSE))</f>
        <v/>
      </c>
      <c r="S16" s="37" t="str">
        <f>IF($D16="","",VLOOKUP($D16,CTBat!$G$10:$BR$203,S$1,FALSE))</f>
        <v/>
      </c>
      <c r="T16" s="37" t="str">
        <f>IF($D16="","",VLOOKUP($D16,CTBat!$G$10:$BR$203,T$1,FALSE))</f>
        <v/>
      </c>
      <c r="U16" s="38" t="str">
        <f>IF($D16="","",VLOOKUP($D16,CTBat!$G$10:$BR$203,U$1,FALSE))</f>
        <v/>
      </c>
      <c r="V16" s="246" t="str">
        <f>IF($D16="","",IF(OR(AE16+AH16&gt;14,AND(OR(AE16+AH16&gt;12,AND(AE16&gt;6,AH16&gt;6)),AJ16&gt;6,OR(AK16&gt;=AJ16,AK16&gt;6))),1,0))</f>
        <v/>
      </c>
      <c r="W16" s="246" t="str">
        <f t="shared" si="27"/>
        <v/>
      </c>
      <c r="X16" s="246" t="str">
        <f t="shared" si="46"/>
        <v/>
      </c>
      <c r="Y16" s="246" t="str">
        <f t="shared" si="28"/>
        <v/>
      </c>
      <c r="Z16" s="246" t="str">
        <f t="shared" si="29"/>
        <v/>
      </c>
      <c r="AA16" s="246" t="str">
        <f t="shared" si="30"/>
        <v/>
      </c>
      <c r="AB16" s="246" t="str">
        <f t="shared" si="31"/>
        <v/>
      </c>
      <c r="AC16" s="246" t="str">
        <f t="shared" si="32"/>
        <v/>
      </c>
      <c r="AD16" s="246" t="str">
        <f t="shared" si="33"/>
        <v/>
      </c>
      <c r="AE16" s="58" t="str">
        <f>IF($D16="","",VLOOKUP($D16,CTBat!$G$10:$BR$203,AE$1,FALSE))</f>
        <v/>
      </c>
      <c r="AF16" s="37" t="str">
        <f>IF($D16="","",VLOOKUP($D16,CTBat!$G$10:$BR$203,AF$1,FALSE))</f>
        <v/>
      </c>
      <c r="AG16" s="37" t="str">
        <f>IF($D16="","",VLOOKUP($D16,CTBat!$G$10:$BR$203,AG$1,FALSE))</f>
        <v/>
      </c>
      <c r="AH16" s="37" t="str">
        <f>IF($D16="","",VLOOKUP($D16,CTBat!$G$10:$BR$203,AH$1,FALSE))</f>
        <v/>
      </c>
      <c r="AI16" s="37" t="str">
        <f>IF($D16="","",VLOOKUP($D16,CTBat!$G$10:$BR$203,AI$1,FALSE))</f>
        <v/>
      </c>
      <c r="AJ16" s="37" t="str">
        <f>IF($D16="","",VLOOKUP($D16,CTBat!$G$10:$BR$203,AJ$1,FALSE))</f>
        <v/>
      </c>
      <c r="AK16" s="38" t="str">
        <f>IF($D16="","",VLOOKUP($D16,CTBat!$G$10:$BR$203,AK$1,FALSE))</f>
        <v/>
      </c>
      <c r="AL16" s="67" t="str">
        <f t="shared" si="47"/>
        <v/>
      </c>
      <c r="AM16" s="246" t="str">
        <f t="shared" si="34"/>
        <v/>
      </c>
      <c r="AN16" s="246" t="str">
        <f t="shared" si="35"/>
        <v/>
      </c>
      <c r="AO16" s="246" t="str">
        <f t="shared" si="36"/>
        <v/>
      </c>
      <c r="AP16" s="246" t="str">
        <f t="shared" si="37"/>
        <v/>
      </c>
      <c r="AQ16" s="246" t="str">
        <f t="shared" si="38"/>
        <v/>
      </c>
      <c r="AR16" s="246" t="str">
        <f t="shared" si="39"/>
        <v/>
      </c>
      <c r="AS16" s="246" t="str">
        <f t="shared" si="40"/>
        <v/>
      </c>
      <c r="AT16" s="246" t="str">
        <f t="shared" si="41"/>
        <v/>
      </c>
      <c r="AU16" s="246" t="str">
        <f t="shared" si="42"/>
        <v/>
      </c>
      <c r="AV16" s="58" t="str">
        <f>IF($D16="","",VLOOKUP($D16,CTBat!$G$10:$BR$203,AV$1,FALSE))</f>
        <v/>
      </c>
      <c r="AW16" s="37" t="str">
        <f>IF($D16="","",VLOOKUP($D16,CTBat!$G$10:$BR$203,AW$1,FALSE))</f>
        <v/>
      </c>
      <c r="AX16" s="37" t="str">
        <f>IF($D16="","",VLOOKUP($D16,CTBat!$G$10:$BR$203,AX$1,FALSE))</f>
        <v/>
      </c>
      <c r="AY16" s="37" t="str">
        <f>IF($D16="","",VLOOKUP($D16,CTBat!$G$10:$BR$203,AY$1,FALSE))</f>
        <v/>
      </c>
      <c r="AZ16" s="38" t="str">
        <f>IF($D16="","",VLOOKUP($D16,CTBat!$G$10:$BR$203,AZ$1,FALSE))</f>
        <v/>
      </c>
      <c r="BA16" s="67" t="str">
        <f t="shared" si="43"/>
        <v/>
      </c>
    </row>
    <row r="17" spans="1:53">
      <c r="A17">
        <v>4</v>
      </c>
      <c r="B17" s="260"/>
      <c r="C17" s="36" t="s">
        <v>101</v>
      </c>
      <c r="D17" s="37"/>
      <c r="E17" s="37" t="str">
        <f>IF($D17="","",VLOOKUP($D17,CTBat!$G$10:$BR$203,E$1,FALSE))</f>
        <v/>
      </c>
      <c r="F17" s="37" t="str">
        <f>IF($D17="","",VLOOKUP($D17,CTBat!$G$10:$BR$203,F$1,FALSE))</f>
        <v/>
      </c>
      <c r="G17" s="53" t="str">
        <f t="shared" si="44"/>
        <v/>
      </c>
      <c r="H17" s="246" t="str">
        <f t="shared" si="25"/>
        <v/>
      </c>
      <c r="I17" s="246" t="str">
        <f t="shared" si="48"/>
        <v/>
      </c>
      <c r="J17" s="247" t="str">
        <f t="shared" si="45"/>
        <v/>
      </c>
      <c r="K17" s="37" t="str">
        <f>IF($D17="","",VLOOKUP($D17,CTBat!$G$10:$BR$203,K$1,FALSE))</f>
        <v/>
      </c>
      <c r="L17" s="37" t="str">
        <f>IF($D17="","",VLOOKUP($D17,CTBat!$G$10:$BR$203,L$1,FALSE))</f>
        <v/>
      </c>
      <c r="M17" s="37" t="str">
        <f>IF($D17="","",VLOOKUP($D17,CTBat!$G$10:$BR$203,M$1,FALSE))</f>
        <v/>
      </c>
      <c r="N17" s="58" t="str">
        <f>IF($D17="","",VLOOKUP($D17,CTBat!$G$10:$BR$203,N$1,FALSE))</f>
        <v/>
      </c>
      <c r="O17" s="37" t="str">
        <f>IF($D17="","",VLOOKUP($D17,CTBat!$G$10:$BR$203,O$1,FALSE))</f>
        <v/>
      </c>
      <c r="P17" s="37" t="str">
        <f>IF($D17="","",VLOOKUP($D17,CTBat!$G$10:$BR$203,P$1,FALSE))</f>
        <v/>
      </c>
      <c r="Q17" s="37" t="str">
        <f>IF($D17="","",VLOOKUP($D17,CTBat!$G$10:$BR$203,Q$1,FALSE))</f>
        <v/>
      </c>
      <c r="R17" s="37" t="str">
        <f>IF($D17="","",VLOOKUP($D17,CTBat!$G$10:$BR$203,R$1,FALSE))</f>
        <v/>
      </c>
      <c r="S17" s="37" t="str">
        <f>IF($D17="","",VLOOKUP($D17,CTBat!$G$10:$BR$203,S$1,FALSE))</f>
        <v/>
      </c>
      <c r="T17" s="37" t="str">
        <f>IF($D17="","",VLOOKUP($D17,CTBat!$G$10:$BR$203,T$1,FALSE))</f>
        <v/>
      </c>
      <c r="U17" s="38" t="str">
        <f>IF($D17="","",VLOOKUP($D17,CTBat!$G$10:$BR$203,U$1,FALSE))</f>
        <v/>
      </c>
      <c r="V17" s="246" t="str">
        <f t="shared" ref="V17:V19" si="49">IF($D17="","",IF(OR(AE17+AH17&gt;14,AND(OR(AE17+AH17&gt;12,AND(AE17&gt;6,AH17&gt;6)),AJ17&gt;6,OR(AK17&gt;=AJ17,AK17&gt;6))),1,0))</f>
        <v/>
      </c>
      <c r="W17" s="246" t="str">
        <f t="shared" si="27"/>
        <v/>
      </c>
      <c r="X17" s="246" t="str">
        <f t="shared" si="46"/>
        <v/>
      </c>
      <c r="Y17" s="246" t="str">
        <f t="shared" si="28"/>
        <v/>
      </c>
      <c r="Z17" s="246" t="str">
        <f t="shared" si="29"/>
        <v/>
      </c>
      <c r="AA17" s="246" t="str">
        <f t="shared" si="30"/>
        <v/>
      </c>
      <c r="AB17" s="246" t="str">
        <f t="shared" si="31"/>
        <v/>
      </c>
      <c r="AC17" s="246" t="str">
        <f t="shared" si="32"/>
        <v/>
      </c>
      <c r="AD17" s="246" t="str">
        <f t="shared" si="33"/>
        <v/>
      </c>
      <c r="AE17" s="58" t="str">
        <f>IF($D17="","",VLOOKUP($D17,CTBat!$G$10:$BR$203,AE$1,FALSE))</f>
        <v/>
      </c>
      <c r="AF17" s="37" t="str">
        <f>IF($D17="","",VLOOKUP($D17,CTBat!$G$10:$BR$203,AF$1,FALSE))</f>
        <v/>
      </c>
      <c r="AG17" s="37" t="str">
        <f>IF($D17="","",VLOOKUP($D17,CTBat!$G$10:$BR$203,AG$1,FALSE))</f>
        <v/>
      </c>
      <c r="AH17" s="37" t="str">
        <f>IF($D17="","",VLOOKUP($D17,CTBat!$G$10:$BR$203,AH$1,FALSE))</f>
        <v/>
      </c>
      <c r="AI17" s="37" t="str">
        <f>IF($D17="","",VLOOKUP($D17,CTBat!$G$10:$BR$203,AI$1,FALSE))</f>
        <v/>
      </c>
      <c r="AJ17" s="37" t="str">
        <f>IF($D17="","",VLOOKUP($D17,CTBat!$G$10:$BR$203,AJ$1,FALSE))</f>
        <v/>
      </c>
      <c r="AK17" s="38" t="str">
        <f>IF($D17="","",VLOOKUP($D17,CTBat!$G$10:$BR$203,AK$1,FALSE))</f>
        <v/>
      </c>
      <c r="AL17" s="67" t="str">
        <f t="shared" si="47"/>
        <v/>
      </c>
      <c r="AM17" s="246" t="str">
        <f t="shared" si="34"/>
        <v/>
      </c>
      <c r="AN17" s="246" t="str">
        <f t="shared" si="35"/>
        <v/>
      </c>
      <c r="AO17" s="246" t="str">
        <f t="shared" si="36"/>
        <v/>
      </c>
      <c r="AP17" s="246" t="str">
        <f t="shared" si="37"/>
        <v/>
      </c>
      <c r="AQ17" s="246" t="str">
        <f t="shared" si="38"/>
        <v/>
      </c>
      <c r="AR17" s="246" t="str">
        <f t="shared" si="39"/>
        <v/>
      </c>
      <c r="AS17" s="246" t="str">
        <f t="shared" si="40"/>
        <v/>
      </c>
      <c r="AT17" s="246" t="str">
        <f t="shared" si="41"/>
        <v/>
      </c>
      <c r="AU17" s="246" t="str">
        <f t="shared" si="42"/>
        <v/>
      </c>
      <c r="AV17" s="58" t="str">
        <f>IF($D17="","",VLOOKUP($D17,CTBat!$G$10:$BR$203,AV$1,FALSE))</f>
        <v/>
      </c>
      <c r="AW17" s="37" t="str">
        <f>IF($D17="","",VLOOKUP($D17,CTBat!$G$10:$BR$203,AW$1,FALSE))</f>
        <v/>
      </c>
      <c r="AX17" s="37" t="str">
        <f>IF($D17="","",VLOOKUP($D17,CTBat!$G$10:$BR$203,AX$1,FALSE))</f>
        <v/>
      </c>
      <c r="AY17" s="37" t="str">
        <f>IF($D17="","",VLOOKUP($D17,CTBat!$G$10:$BR$203,AY$1,FALSE))</f>
        <v/>
      </c>
      <c r="AZ17" s="38" t="str">
        <f>IF($D17="","",VLOOKUP($D17,CTBat!$G$10:$BR$203,AZ$1,FALSE))</f>
        <v/>
      </c>
      <c r="BA17" s="67" t="str">
        <f t="shared" si="43"/>
        <v/>
      </c>
    </row>
    <row r="18" spans="1:53">
      <c r="A18">
        <v>5</v>
      </c>
      <c r="B18" s="260"/>
      <c r="C18" s="36" t="s">
        <v>101</v>
      </c>
      <c r="D18" s="65"/>
      <c r="E18" s="37" t="str">
        <f>IF($D18="","",VLOOKUP($D18,CTBat!$G$10:$BR$203,E$1,FALSE))</f>
        <v/>
      </c>
      <c r="F18" s="37" t="str">
        <f>IF($D18="","",VLOOKUP($D18,CTBat!$G$10:$BR$203,F$1,FALSE))</f>
        <v/>
      </c>
      <c r="G18" s="53" t="str">
        <f t="shared" si="44"/>
        <v/>
      </c>
      <c r="H18" s="246" t="str">
        <f t="shared" si="25"/>
        <v/>
      </c>
      <c r="I18" s="246" t="str">
        <f t="shared" si="48"/>
        <v/>
      </c>
      <c r="J18" s="247" t="str">
        <f t="shared" si="45"/>
        <v/>
      </c>
      <c r="K18" s="37" t="str">
        <f>IF($D18="","",VLOOKUP($D18,CTBat!$G$10:$BR$203,K$1,FALSE))</f>
        <v/>
      </c>
      <c r="L18" s="37" t="str">
        <f>IF($D18="","",VLOOKUP($D18,CTBat!$G$10:$BR$203,L$1,FALSE))</f>
        <v/>
      </c>
      <c r="M18" s="37" t="str">
        <f>IF($D18="","",VLOOKUP($D18,CTBat!$G$10:$BR$203,M$1,FALSE))</f>
        <v/>
      </c>
      <c r="N18" s="58" t="str">
        <f>IF($D18="","",VLOOKUP($D18,CTBat!$G$10:$BR$203,N$1,FALSE))</f>
        <v/>
      </c>
      <c r="O18" s="37" t="str">
        <f>IF($D18="","",VLOOKUP($D18,CTBat!$G$10:$BR$203,O$1,FALSE))</f>
        <v/>
      </c>
      <c r="P18" s="37" t="str">
        <f>IF($D18="","",VLOOKUP($D18,CTBat!$G$10:$BR$203,P$1,FALSE))</f>
        <v/>
      </c>
      <c r="Q18" s="37" t="str">
        <f>IF($D18="","",VLOOKUP($D18,CTBat!$G$10:$BR$203,Q$1,FALSE))</f>
        <v/>
      </c>
      <c r="R18" s="37" t="str">
        <f>IF($D18="","",VLOOKUP($D18,CTBat!$G$10:$BR$203,R$1,FALSE))</f>
        <v/>
      </c>
      <c r="S18" s="37" t="str">
        <f>IF($D18="","",VLOOKUP($D18,CTBat!$G$10:$BR$203,S$1,FALSE))</f>
        <v/>
      </c>
      <c r="T18" s="37" t="str">
        <f>IF($D18="","",VLOOKUP($D18,CTBat!$G$10:$BR$203,T$1,FALSE))</f>
        <v/>
      </c>
      <c r="U18" s="38" t="str">
        <f>IF($D18="","",VLOOKUP($D18,CTBat!$G$10:$BR$203,U$1,FALSE))</f>
        <v/>
      </c>
      <c r="V18" s="246" t="str">
        <f t="shared" si="49"/>
        <v/>
      </c>
      <c r="W18" s="246" t="str">
        <f t="shared" si="27"/>
        <v/>
      </c>
      <c r="X18" s="246" t="str">
        <f t="shared" si="46"/>
        <v/>
      </c>
      <c r="Y18" s="246" t="str">
        <f t="shared" si="28"/>
        <v/>
      </c>
      <c r="Z18" s="246" t="str">
        <f t="shared" si="29"/>
        <v/>
      </c>
      <c r="AA18" s="246" t="str">
        <f t="shared" si="30"/>
        <v/>
      </c>
      <c r="AB18" s="246" t="str">
        <f t="shared" si="31"/>
        <v/>
      </c>
      <c r="AC18" s="246" t="str">
        <f t="shared" si="32"/>
        <v/>
      </c>
      <c r="AD18" s="246" t="str">
        <f t="shared" si="33"/>
        <v/>
      </c>
      <c r="AE18" s="58" t="str">
        <f>IF($D18="","",VLOOKUP($D18,CTBat!$G$10:$BR$203,AE$1,FALSE))</f>
        <v/>
      </c>
      <c r="AF18" s="37" t="str">
        <f>IF($D18="","",VLOOKUP($D18,CTBat!$G$10:$BR$203,AF$1,FALSE))</f>
        <v/>
      </c>
      <c r="AG18" s="37" t="str">
        <f>IF($D18="","",VLOOKUP($D18,CTBat!$G$10:$BR$203,AG$1,FALSE))</f>
        <v/>
      </c>
      <c r="AH18" s="37" t="str">
        <f>IF($D18="","",VLOOKUP($D18,CTBat!$G$10:$BR$203,AH$1,FALSE))</f>
        <v/>
      </c>
      <c r="AI18" s="37" t="str">
        <f>IF($D18="","",VLOOKUP($D18,CTBat!$G$10:$BR$203,AI$1,FALSE))</f>
        <v/>
      </c>
      <c r="AJ18" s="37" t="str">
        <f>IF($D18="","",VLOOKUP($D18,CTBat!$G$10:$BR$203,AJ$1,FALSE))</f>
        <v/>
      </c>
      <c r="AK18" s="38" t="str">
        <f>IF($D18="","",VLOOKUP($D18,CTBat!$G$10:$BR$203,AK$1,FALSE))</f>
        <v/>
      </c>
      <c r="AL18" s="67" t="str">
        <f t="shared" si="47"/>
        <v/>
      </c>
      <c r="AM18" s="246" t="str">
        <f t="shared" si="34"/>
        <v/>
      </c>
      <c r="AN18" s="246" t="str">
        <f t="shared" si="35"/>
        <v/>
      </c>
      <c r="AO18" s="246" t="str">
        <f t="shared" si="36"/>
        <v/>
      </c>
      <c r="AP18" s="246" t="str">
        <f t="shared" si="37"/>
        <v/>
      </c>
      <c r="AQ18" s="246" t="str">
        <f t="shared" si="38"/>
        <v/>
      </c>
      <c r="AR18" s="246" t="str">
        <f t="shared" si="39"/>
        <v/>
      </c>
      <c r="AS18" s="246" t="str">
        <f t="shared" si="40"/>
        <v/>
      </c>
      <c r="AT18" s="246" t="str">
        <f t="shared" si="41"/>
        <v/>
      </c>
      <c r="AU18" s="246" t="str">
        <f t="shared" si="42"/>
        <v/>
      </c>
      <c r="AV18" s="58" t="str">
        <f>IF($D18="","",VLOOKUP($D18,CTBat!$G$10:$BR$203,AV$1,FALSE))</f>
        <v/>
      </c>
      <c r="AW18" s="37" t="str">
        <f>IF($D18="","",VLOOKUP($D18,CTBat!$G$10:$BR$203,AW$1,FALSE))</f>
        <v/>
      </c>
      <c r="AX18" s="37" t="str">
        <f>IF($D18="","",VLOOKUP($D18,CTBat!$G$10:$BR$203,AX$1,FALSE))</f>
        <v/>
      </c>
      <c r="AY18" s="37" t="str">
        <f>IF($D18="","",VLOOKUP($D18,CTBat!$G$10:$BR$203,AY$1,FALSE))</f>
        <v/>
      </c>
      <c r="AZ18" s="38" t="str">
        <f>IF($D18="","",VLOOKUP($D18,CTBat!$G$10:$BR$203,AZ$1,FALSE))</f>
        <v/>
      </c>
      <c r="BA18" s="67" t="str">
        <f t="shared" si="43"/>
        <v/>
      </c>
    </row>
    <row r="19" spans="1:53">
      <c r="A19">
        <v>6</v>
      </c>
      <c r="B19" s="261"/>
      <c r="C19" s="39" t="s">
        <v>101</v>
      </c>
      <c r="D19" s="40"/>
      <c r="E19" s="40" t="str">
        <f>IF($D19="","",VLOOKUP($D19,CTBat!$G$10:$BR$203,E$1,FALSE))</f>
        <v/>
      </c>
      <c r="F19" s="40" t="str">
        <f>IF($D19="","",VLOOKUP($D19,CTBat!$G$10:$BR$203,F$1,FALSE))</f>
        <v/>
      </c>
      <c r="G19" s="54" t="str">
        <f t="shared" si="44"/>
        <v/>
      </c>
      <c r="H19" s="244" t="str">
        <f>IF($D19="","",IF(R19&lt;&gt;"-",1,0))</f>
        <v/>
      </c>
      <c r="I19" s="244" t="str">
        <f t="shared" si="48"/>
        <v/>
      </c>
      <c r="J19" s="245" t="str">
        <f t="shared" si="45"/>
        <v/>
      </c>
      <c r="K19" s="40" t="str">
        <f>IF($D19="","",VLOOKUP($D19,CTBat!$G$10:$BR$203,K$1,FALSE))</f>
        <v/>
      </c>
      <c r="L19" s="40" t="str">
        <f>IF($D19="","",VLOOKUP($D19,CTBat!$G$10:$BR$203,L$1,FALSE))</f>
        <v/>
      </c>
      <c r="M19" s="40" t="str">
        <f>IF($D19="","",VLOOKUP($D19,CTBat!$G$10:$BR$203,M$1,FALSE))</f>
        <v/>
      </c>
      <c r="N19" s="59" t="str">
        <f>IF($D19="","",VLOOKUP($D19,CTBat!$G$10:$BR$203,N$1,FALSE))</f>
        <v/>
      </c>
      <c r="O19" s="40" t="str">
        <f>IF($D19="","",VLOOKUP($D19,CTBat!$G$10:$BR$203,O$1,FALSE))</f>
        <v/>
      </c>
      <c r="P19" s="40" t="str">
        <f>IF($D19="","",VLOOKUP($D19,CTBat!$G$10:$BR$203,P$1,FALSE))</f>
        <v/>
      </c>
      <c r="Q19" s="40" t="str">
        <f>IF($D19="","",VLOOKUP($D19,CTBat!$G$10:$BR$203,Q$1,FALSE))</f>
        <v/>
      </c>
      <c r="R19" s="40" t="str">
        <f>IF($D19="","",VLOOKUP($D19,CTBat!$G$10:$BR$203,R$1,FALSE))</f>
        <v/>
      </c>
      <c r="S19" s="40" t="str">
        <f>IF($D19="","",VLOOKUP($D19,CTBat!$G$10:$BR$203,S$1,FALSE))</f>
        <v/>
      </c>
      <c r="T19" s="40" t="str">
        <f>IF($D19="","",VLOOKUP($D19,CTBat!$G$10:$BR$203,T$1,FALSE))</f>
        <v/>
      </c>
      <c r="U19" s="42" t="str">
        <f>IF($D19="","",VLOOKUP($D19,CTBat!$G$10:$BR$203,U$1,FALSE))</f>
        <v/>
      </c>
      <c r="V19" s="244" t="str">
        <f t="shared" si="49"/>
        <v/>
      </c>
      <c r="W19" s="244" t="str">
        <f t="shared" si="27"/>
        <v/>
      </c>
      <c r="X19" s="244" t="str">
        <f t="shared" si="46"/>
        <v/>
      </c>
      <c r="Y19" s="244" t="str">
        <f t="shared" si="28"/>
        <v/>
      </c>
      <c r="Z19" s="244" t="str">
        <f t="shared" si="29"/>
        <v/>
      </c>
      <c r="AA19" s="244" t="str">
        <f t="shared" si="30"/>
        <v/>
      </c>
      <c r="AB19" s="244" t="str">
        <f t="shared" si="31"/>
        <v/>
      </c>
      <c r="AC19" s="244" t="str">
        <f t="shared" si="32"/>
        <v/>
      </c>
      <c r="AD19" s="244" t="str">
        <f t="shared" si="33"/>
        <v/>
      </c>
      <c r="AE19" s="59" t="str">
        <f>IF($D19="","",VLOOKUP($D19,CTBat!$G$10:$BR$203,AE$1,FALSE))</f>
        <v/>
      </c>
      <c r="AF19" s="40" t="str">
        <f>IF($D19="","",VLOOKUP($D19,CTBat!$G$10:$BR$203,AF$1,FALSE))</f>
        <v/>
      </c>
      <c r="AG19" s="40" t="str">
        <f>IF($D19="","",VLOOKUP($D19,CTBat!$G$10:$BR$203,AG$1,FALSE))</f>
        <v/>
      </c>
      <c r="AH19" s="40" t="str">
        <f>IF($D19="","",VLOOKUP($D19,CTBat!$G$10:$BR$203,AH$1,FALSE))</f>
        <v/>
      </c>
      <c r="AI19" s="40" t="str">
        <f>IF($D19="","",VLOOKUP($D19,CTBat!$G$10:$BR$203,AI$1,FALSE))</f>
        <v/>
      </c>
      <c r="AJ19" s="40" t="str">
        <f>IF($D19="","",VLOOKUP($D19,CTBat!$G$10:$BR$203,AJ$1,FALSE))</f>
        <v/>
      </c>
      <c r="AK19" s="42" t="str">
        <f>IF($D19="","",VLOOKUP($D19,CTBat!$G$10:$BR$203,AK$1,FALSE))</f>
        <v/>
      </c>
      <c r="AL19" s="68" t="str">
        <f t="shared" si="47"/>
        <v/>
      </c>
      <c r="AM19" s="244" t="str">
        <f t="shared" si="34"/>
        <v/>
      </c>
      <c r="AN19" s="244" t="str">
        <f t="shared" si="35"/>
        <v/>
      </c>
      <c r="AO19" s="244" t="str">
        <f t="shared" si="36"/>
        <v/>
      </c>
      <c r="AP19" s="244" t="str">
        <f t="shared" si="37"/>
        <v/>
      </c>
      <c r="AQ19" s="244" t="str">
        <f t="shared" si="38"/>
        <v/>
      </c>
      <c r="AR19" s="244" t="str">
        <f t="shared" si="39"/>
        <v/>
      </c>
      <c r="AS19" s="244" t="str">
        <f t="shared" si="40"/>
        <v/>
      </c>
      <c r="AT19" s="244" t="str">
        <f t="shared" si="41"/>
        <v/>
      </c>
      <c r="AU19" s="244" t="str">
        <f t="shared" si="42"/>
        <v/>
      </c>
      <c r="AV19" s="59" t="str">
        <f>IF($D19="","",VLOOKUP($D19,CTBat!$G$10:$BR$203,AV$1,FALSE))</f>
        <v/>
      </c>
      <c r="AW19" s="40" t="str">
        <f>IF($D19="","",VLOOKUP($D19,CTBat!$G$10:$BR$203,AW$1,FALSE))</f>
        <v/>
      </c>
      <c r="AX19" s="40" t="str">
        <f>IF($D19="","",VLOOKUP($D19,CTBat!$G$10:$BR$203,AX$1,FALSE))</f>
        <v/>
      </c>
      <c r="AY19" s="40" t="str">
        <f>IF($D19="","",VLOOKUP($D19,CTBat!$G$10:$BR$203,AY$1,FALSE))</f>
        <v/>
      </c>
      <c r="AZ19" s="42" t="str">
        <f>IF($D19="","",VLOOKUP($D19,CTBat!$G$10:$BR$203,AZ$1,FALSE))</f>
        <v/>
      </c>
      <c r="BA19" s="68" t="str">
        <f t="shared" si="43"/>
        <v/>
      </c>
    </row>
    <row r="21" spans="1:53" ht="196.5">
      <c r="A21" s="25" t="s">
        <v>193</v>
      </c>
      <c r="B21" s="256" t="s">
        <v>485</v>
      </c>
      <c r="C21" s="241" t="s">
        <v>133</v>
      </c>
      <c r="D21" s="44" t="str">
        <f>"Player ("&amp;COUNTA(D22:D24)&amp;")"</f>
        <v>Player (1)</v>
      </c>
      <c r="E21" s="44" t="s">
        <v>91</v>
      </c>
      <c r="F21" s="44" t="s">
        <v>101</v>
      </c>
      <c r="G21" s="64" t="str">
        <f>"Strong C Arm ("&amp;SUM(G22:G24)&amp;")"</f>
        <v>Strong C Arm (1)</v>
      </c>
      <c r="H21" s="48" t="s">
        <v>41</v>
      </c>
      <c r="I21" s="48" t="s">
        <v>41</v>
      </c>
      <c r="J21" s="48" t="s">
        <v>41</v>
      </c>
      <c r="K21" s="55" t="s">
        <v>136</v>
      </c>
      <c r="L21" s="47" t="s">
        <v>134</v>
      </c>
      <c r="M21" s="56" t="s">
        <v>135</v>
      </c>
      <c r="N21" s="48" t="s">
        <v>92</v>
      </c>
      <c r="O21" s="48" t="s">
        <v>94</v>
      </c>
      <c r="P21" s="48" t="s">
        <v>95</v>
      </c>
      <c r="Q21" s="48" t="s">
        <v>96</v>
      </c>
      <c r="R21" s="48" t="s">
        <v>97</v>
      </c>
      <c r="S21" s="48" t="s">
        <v>98</v>
      </c>
      <c r="T21" s="48" t="s">
        <v>99</v>
      </c>
      <c r="U21" s="49" t="s">
        <v>100</v>
      </c>
      <c r="V21" s="45" t="s">
        <v>137</v>
      </c>
      <c r="W21" s="45" t="s">
        <v>181</v>
      </c>
      <c r="X21" s="45" t="s">
        <v>138</v>
      </c>
      <c r="Y21" s="45" t="s">
        <v>139</v>
      </c>
      <c r="Z21" s="45" t="s">
        <v>140</v>
      </c>
      <c r="AA21" s="45" t="s">
        <v>141</v>
      </c>
      <c r="AB21" s="45" t="s">
        <v>142</v>
      </c>
      <c r="AC21" s="45" t="s">
        <v>144</v>
      </c>
      <c r="AD21" s="60" t="s">
        <v>143</v>
      </c>
      <c r="AE21" s="48" t="s">
        <v>147</v>
      </c>
      <c r="AF21" s="48" t="s">
        <v>148</v>
      </c>
      <c r="AG21" s="48" t="s">
        <v>149</v>
      </c>
      <c r="AH21" s="48" t="s">
        <v>150</v>
      </c>
      <c r="AI21" s="48" t="s">
        <v>29</v>
      </c>
      <c r="AJ21" s="48" t="s">
        <v>151</v>
      </c>
      <c r="AK21" s="49" t="s">
        <v>152</v>
      </c>
      <c r="AL21" s="66" t="s">
        <v>157</v>
      </c>
      <c r="AM21" s="45" t="s">
        <v>137</v>
      </c>
      <c r="AN21" s="45" t="s">
        <v>181</v>
      </c>
      <c r="AO21" s="45" t="s">
        <v>138</v>
      </c>
      <c r="AP21" s="45" t="s">
        <v>139</v>
      </c>
      <c r="AQ21" s="45" t="s">
        <v>140</v>
      </c>
      <c r="AR21" s="45" t="s">
        <v>141</v>
      </c>
      <c r="AS21" s="45" t="s">
        <v>142</v>
      </c>
      <c r="AT21" s="45" t="s">
        <v>144</v>
      </c>
      <c r="AU21" s="60" t="s">
        <v>143</v>
      </c>
      <c r="AV21" s="63" t="s">
        <v>147</v>
      </c>
      <c r="AW21" s="48" t="s">
        <v>148</v>
      </c>
      <c r="AX21" s="48" t="s">
        <v>149</v>
      </c>
      <c r="AY21" s="48" t="s">
        <v>150</v>
      </c>
      <c r="AZ21" s="49" t="s">
        <v>29</v>
      </c>
      <c r="BA21" s="66" t="s">
        <v>197</v>
      </c>
    </row>
    <row r="22" spans="1:53">
      <c r="A22">
        <v>1</v>
      </c>
      <c r="B22" s="257"/>
      <c r="C22" s="36" t="s">
        <v>92</v>
      </c>
      <c r="D22" s="37"/>
      <c r="E22" s="37" t="str">
        <f>IF($D22="","",VLOOKUP($D22,CTBat!$G$10:$BR$203,E$1,FALSE))</f>
        <v/>
      </c>
      <c r="F22" s="37" t="str">
        <f>IF($D22="","",VLOOKUP($D22,CTBat!$G$10:$BR$203,F$1,FALSE))</f>
        <v/>
      </c>
      <c r="G22" s="53" t="str">
        <f>IF($D22="","",IF(K22&gt;5,1,0))</f>
        <v/>
      </c>
      <c r="H22" s="246" t="str">
        <f t="shared" ref="H22:I24" si="50">IF($D22="","","-")</f>
        <v/>
      </c>
      <c r="I22" s="246" t="str">
        <f t="shared" si="50"/>
        <v/>
      </c>
      <c r="J22" s="246" t="str">
        <f>IF($D22="","","-")</f>
        <v/>
      </c>
      <c r="K22" s="58" t="str">
        <f>IF($D22="","",VLOOKUP($D22,CTBat!$G$10:$BR$203,K$1,FALSE))</f>
        <v/>
      </c>
      <c r="L22" s="37" t="str">
        <f>IF($D22="","",VLOOKUP($D22,CTBat!$G$10:$BR$203,L$1,FALSE))</f>
        <v/>
      </c>
      <c r="M22" s="38" t="str">
        <f>IF($D22="","",VLOOKUP($D22,CTBat!$G$10:$BR$203,M$1,FALSE))</f>
        <v/>
      </c>
      <c r="N22" s="37" t="str">
        <f>IF($D22="","",VLOOKUP($D22,CTBat!$G$10:$BR$203,N$1,FALSE))</f>
        <v/>
      </c>
      <c r="O22" s="37" t="str">
        <f>IF($D22="","",VLOOKUP($D22,CTBat!$G$10:$BR$203,O$1,FALSE))</f>
        <v/>
      </c>
      <c r="P22" s="37" t="str">
        <f>IF($D22="","",VLOOKUP($D22,CTBat!$G$10:$BR$203,P$1,FALSE))</f>
        <v/>
      </c>
      <c r="Q22" s="37" t="str">
        <f>IF($D22="","",VLOOKUP($D22,CTBat!$G$10:$BR$203,Q$1,FALSE))</f>
        <v/>
      </c>
      <c r="R22" s="37" t="str">
        <f>IF($D22="","",VLOOKUP($D22,CTBat!$G$10:$BR$203,R$1,FALSE))</f>
        <v/>
      </c>
      <c r="S22" s="37" t="str">
        <f>IF($D22="","",VLOOKUP($D22,CTBat!$G$10:$BR$203,S$1,FALSE))</f>
        <v/>
      </c>
      <c r="T22" s="37" t="str">
        <f>IF($D22="","",VLOOKUP($D22,CTBat!$G$10:$BR$203,T$1,FALSE))</f>
        <v/>
      </c>
      <c r="U22" s="38" t="str">
        <f>IF($D22="","",VLOOKUP($D22,CTBat!$G$10:$BR$203,U$1,FALSE))</f>
        <v/>
      </c>
      <c r="V22" s="246" t="str">
        <f t="shared" ref="V22:V24" si="51">IF($D22="","",IF(OR(AE22+AH22&gt;14,AND(OR(AE22+AH22&gt;12,AND(AE22&gt;6,AH22&gt;6)),AJ22&gt;6,OR(AK22&gt;=AJ22,AK22&gt;6))),1,0))</f>
        <v/>
      </c>
      <c r="W22" s="246" t="str">
        <f t="shared" ref="W22:W24" si="52">IF($D22="","",IF(OR(AND(AE22&gt;6,AI22&gt;6),AE22+AH22&gt;12),1,0))</f>
        <v/>
      </c>
      <c r="X22" s="246" t="str">
        <f t="shared" ref="X22:X24" si="53">IF($D22="","",IF(AND(AE22&gt;6,AG22&gt;6,AH22&gt;6),1,0))</f>
        <v/>
      </c>
      <c r="Y22" s="246" t="str">
        <f t="shared" ref="Y22:Y24" si="54">IF($D22="","",IF(AND(AG22&gt;7,OR(AE22&gt;6,AH22&gt;6)),1,0))</f>
        <v/>
      </c>
      <c r="Z22" s="246" t="str">
        <f t="shared" ref="Z22:Z24" si="55">IF($D22="","",IF(AND(AG22&gt;6,OR(AE22&gt;6,AH22&gt;6)),1,0))</f>
        <v/>
      </c>
      <c r="AA22" s="246" t="str">
        <f t="shared" ref="AA22:AA24" si="56">IF($D22="","",IF(AND(OR(AE22&gt;6,AG22&gt;6),OR(AE22&gt;6,AH22&gt;6)),1,0))</f>
        <v/>
      </c>
      <c r="AB22" s="246" t="str">
        <f t="shared" ref="AB22:AB24" si="57">IF($D22="","",IF(AND(AE22&gt;4,OR(AE22&gt;6,AG22&gt;6,AH22&gt;6)),1,0))</f>
        <v/>
      </c>
      <c r="AC22" s="246" t="str">
        <f t="shared" ref="AC22:AC24" si="58">IF($D22="","",IF(AND(AE22&gt;4,OR(AE22&gt;6,AF22&gt;6,AG22&gt;6,AH22&gt;6)),1,0))</f>
        <v/>
      </c>
      <c r="AD22" s="247" t="str">
        <f t="shared" ref="AD22:AD24" si="59">IF($D22="","",IF(AND(AE22&gt;4,MAX(AE22:AI22)&gt;6),1,0))</f>
        <v/>
      </c>
      <c r="AE22" s="37" t="str">
        <f>IF($D22="","",VLOOKUP($D22,CTBat!$G$10:$BR$203,AE$1,FALSE))</f>
        <v/>
      </c>
      <c r="AF22" s="37" t="str">
        <f>IF($D22="","",VLOOKUP($D22,CTBat!$G$10:$BR$203,AF$1,FALSE))</f>
        <v/>
      </c>
      <c r="AG22" s="37" t="str">
        <f>IF($D22="","",VLOOKUP($D22,CTBat!$G$10:$BR$203,AG$1,FALSE))</f>
        <v/>
      </c>
      <c r="AH22" s="37" t="str">
        <f>IF($D22="","",VLOOKUP($D22,CTBat!$G$10:$BR$203,AH$1,FALSE))</f>
        <v/>
      </c>
      <c r="AI22" s="37" t="str">
        <f>IF($D22="","",VLOOKUP($D22,CTBat!$G$10:$BR$203,AI$1,FALSE))</f>
        <v/>
      </c>
      <c r="AJ22" s="37" t="str">
        <f>IF($D22="","",VLOOKUP($D22,CTBat!$G$10:$BR$203,AJ$1,FALSE))</f>
        <v/>
      </c>
      <c r="AK22" s="38" t="str">
        <f>IF($D22="","",VLOOKUP($D22,CTBat!$G$10:$BR$203,AK$1,FALSE))</f>
        <v/>
      </c>
      <c r="AL22" s="67" t="str">
        <f>IF($D22="","",(5*AE22+4*AG22+3*AH22+2*AF22+1*AI22+0.5*(AVERAGE(AE22:AF22))+0.5*AVERAGE(AE22,AI22)+1*(AVERAGE(AE22,AG22))+1*AVERAGE(AE22,AH22))/(5+4+3+2+1+0.5+0.5+1+1))</f>
        <v/>
      </c>
      <c r="AM22" s="246" t="str">
        <f t="shared" ref="AM22:AM24" si="60">IF($D22="","",IF(AND(OR(AV22+AY22&gt;12,AND(AV22&gt;6,AY22&gt;6)),AJ22&gt;6,OR(AK22&gt;=AJ22,AK22&gt;6)),1,0))</f>
        <v/>
      </c>
      <c r="AN22" s="246" t="str">
        <f t="shared" ref="AN22:AN24" si="61">IF($D22="","",IF(OR(AND(AV22&gt;6,AZ22&gt;6),AV22+AY22&gt;12),1,0))</f>
        <v/>
      </c>
      <c r="AO22" s="246" t="str">
        <f t="shared" ref="AO22:AO24" si="62">IF($D22="","",IF(AND(AV22&gt;6,AX22&gt;6,AY22&gt;6),1,0))</f>
        <v/>
      </c>
      <c r="AP22" s="246" t="str">
        <f t="shared" ref="AP22:AP24" si="63">IF($D22="","",IF(AND(AX22&gt;7,OR(AV22&gt;6,AY22&gt;6)),1,0))</f>
        <v/>
      </c>
      <c r="AQ22" s="246" t="str">
        <f t="shared" ref="AQ22:AQ24" si="64">IF($D22="","",IF(AND(AX22&gt;6,OR(AV22&gt;6,AY22&gt;6)),1,0))</f>
        <v/>
      </c>
      <c r="AR22" s="246" t="str">
        <f t="shared" ref="AR22:AR24" si="65">IF($D22="","",IF(AND(OR(AV22&gt;6,AX22&gt;6),OR(AV22&gt;6,AY22&gt;6)),1,0))</f>
        <v/>
      </c>
      <c r="AS22" s="246" t="str">
        <f t="shared" ref="AS22:AS24" si="66">IF($D22="","",IF(AND(AV22&gt;4,OR(AV22&gt;6,AX22&gt;6,AY22&gt;6)),1,0))</f>
        <v/>
      </c>
      <c r="AT22" s="246" t="str">
        <f t="shared" ref="AT22:AT24" si="67">IF($D22="","",IF(AND(AV22&gt;4,OR(AV22&gt;6,AW22&gt;6,AX22&gt;6,AY22&gt;6)),1,0))</f>
        <v/>
      </c>
      <c r="AU22" s="247" t="str">
        <f t="shared" ref="AU22:AU24" si="68">IF($D22="","",IF(AND(AV22&gt;4,MAX(AV22:AZ22)&gt;6),1,0))</f>
        <v/>
      </c>
      <c r="AV22" s="58" t="str">
        <f>IF($D22="","",VLOOKUP($D22,CTBat!$G$10:$BR$203,AV$1,FALSE))</f>
        <v/>
      </c>
      <c r="AW22" s="37" t="str">
        <f>IF($D22="","",VLOOKUP($D22,CTBat!$G$10:$BR$203,AW$1,FALSE))</f>
        <v/>
      </c>
      <c r="AX22" s="37" t="str">
        <f>IF($D22="","",VLOOKUP($D22,CTBat!$G$10:$BR$203,AX$1,FALSE))</f>
        <v/>
      </c>
      <c r="AY22" s="37" t="str">
        <f>IF($D22="","",VLOOKUP($D22,CTBat!$G$10:$BR$203,AY$1,FALSE))</f>
        <v/>
      </c>
      <c r="AZ22" s="38" t="str">
        <f>IF($D22="","",VLOOKUP($D22,CTBat!$G$10:$BR$203,AZ$1,FALSE))</f>
        <v/>
      </c>
      <c r="BA22" s="67" t="str">
        <f t="shared" ref="BA22:BA24" si="69">IF($D22="","",(5*AV22+4*AX22+3*AY22+2*AW22+1*AZ22+0.5*(AVERAGE(AV22:AW22))+0.5*AVERAGE(AV22,AZ22)+1*(AVERAGE(AV22,AX22))+1*AVERAGE(AV22,AY22))/(5+4+3+2+1+0.5+0.5+1+1))</f>
        <v/>
      </c>
    </row>
    <row r="23" spans="1:53">
      <c r="A23">
        <v>2</v>
      </c>
      <c r="B23" s="257"/>
      <c r="C23" s="36" t="s">
        <v>101</v>
      </c>
      <c r="D23" s="37" t="s">
        <v>490</v>
      </c>
      <c r="E23" s="37">
        <f>IF($D23="","",VLOOKUP($D23,CTBat!$G$10:$BR$203,E$1,FALSE))</f>
        <v>27</v>
      </c>
      <c r="F23" s="37" t="str">
        <f>IF($D23="","",VLOOKUP($D23,CTBat!$G$10:$BR$203,F$1,FALSE))</f>
        <v>R</v>
      </c>
      <c r="G23" s="53">
        <f>IF($D23="","",IF(K23&gt;5,1,0))</f>
        <v>1</v>
      </c>
      <c r="H23" s="246" t="str">
        <f t="shared" si="50"/>
        <v>-</v>
      </c>
      <c r="I23" s="246" t="str">
        <f t="shared" si="50"/>
        <v>-</v>
      </c>
      <c r="J23" s="246" t="str">
        <f>IF($D23="","","-")</f>
        <v>-</v>
      </c>
      <c r="K23" s="58">
        <f>IF($D23="","",VLOOKUP($D23,CTBat!$G$10:$BR$203,K$1,FALSE))</f>
        <v>7</v>
      </c>
      <c r="L23" s="37">
        <f>IF($D23="","",VLOOKUP($D23,CTBat!$G$10:$BR$203,L$1,FALSE))</f>
        <v>4</v>
      </c>
      <c r="M23" s="38">
        <f>IF($D23="","",VLOOKUP($D23,CTBat!$G$10:$BR$203,M$1,FALSE))</f>
        <v>5</v>
      </c>
      <c r="N23" s="37">
        <f>IF($D23="","",VLOOKUP($D23,CTBat!$G$10:$BR$203,N$1,FALSE))</f>
        <v>8</v>
      </c>
      <c r="O23" s="37" t="str">
        <f>IF($D23="","",VLOOKUP($D23,CTBat!$G$10:$BR$203,O$1,FALSE))</f>
        <v>-</v>
      </c>
      <c r="P23" s="37" t="str">
        <f>IF($D23="","",VLOOKUP($D23,CTBat!$G$10:$BR$203,P$1,FALSE))</f>
        <v>-</v>
      </c>
      <c r="Q23" s="37" t="str">
        <f>IF($D23="","",VLOOKUP($D23,CTBat!$G$10:$BR$203,Q$1,FALSE))</f>
        <v>-</v>
      </c>
      <c r="R23" s="37" t="str">
        <f>IF($D23="","",VLOOKUP($D23,CTBat!$G$10:$BR$203,R$1,FALSE))</f>
        <v>-</v>
      </c>
      <c r="S23" s="37">
        <f>IF($D23="","",VLOOKUP($D23,CTBat!$G$10:$BR$203,S$1,FALSE))</f>
        <v>1</v>
      </c>
      <c r="T23" s="37" t="str">
        <f>IF($D23="","",VLOOKUP($D23,CTBat!$G$10:$BR$203,T$1,FALSE))</f>
        <v>-</v>
      </c>
      <c r="U23" s="38" t="str">
        <f>IF($D23="","",VLOOKUP($D23,CTBat!$G$10:$BR$203,U$1,FALSE))</f>
        <v>-</v>
      </c>
      <c r="V23" s="246">
        <f t="shared" si="51"/>
        <v>0</v>
      </c>
      <c r="W23" s="246">
        <f t="shared" si="52"/>
        <v>1</v>
      </c>
      <c r="X23" s="246">
        <f t="shared" si="53"/>
        <v>0</v>
      </c>
      <c r="Y23" s="246">
        <f t="shared" si="54"/>
        <v>0</v>
      </c>
      <c r="Z23" s="246">
        <f t="shared" si="55"/>
        <v>0</v>
      </c>
      <c r="AA23" s="246">
        <f t="shared" si="56"/>
        <v>0</v>
      </c>
      <c r="AB23" s="246">
        <f t="shared" si="57"/>
        <v>1</v>
      </c>
      <c r="AC23" s="246">
        <f t="shared" si="58"/>
        <v>1</v>
      </c>
      <c r="AD23" s="247">
        <f t="shared" si="59"/>
        <v>1</v>
      </c>
      <c r="AE23" s="37">
        <f>IF($D23="","",VLOOKUP($D23,CTBat!$G$10:$BR$203,AE$1,FALSE))</f>
        <v>6</v>
      </c>
      <c r="AF23" s="37">
        <f>IF($D23="","",VLOOKUP($D23,CTBat!$G$10:$BR$203,AF$1,FALSE))</f>
        <v>6</v>
      </c>
      <c r="AG23" s="37">
        <f>IF($D23="","",VLOOKUP($D23,CTBat!$G$10:$BR$203,AG$1,FALSE))</f>
        <v>6</v>
      </c>
      <c r="AH23" s="37">
        <f>IF($D23="","",VLOOKUP($D23,CTBat!$G$10:$BR$203,AH$1,FALSE))</f>
        <v>7</v>
      </c>
      <c r="AI23" s="37">
        <f>IF($D23="","",VLOOKUP($D23,CTBat!$G$10:$BR$203,AI$1,FALSE))</f>
        <v>6</v>
      </c>
      <c r="AJ23" s="37">
        <f>IF($D23="","",VLOOKUP($D23,CTBat!$G$10:$BR$203,AJ$1,FALSE))</f>
        <v>1</v>
      </c>
      <c r="AK23" s="38">
        <f>IF($D23="","",VLOOKUP($D23,CTBat!$G$10:$BR$203,AK$1,FALSE))</f>
        <v>1</v>
      </c>
      <c r="AL23" s="67">
        <f t="shared" ref="AL23:AL24" si="70">IF($D23="","",(5*AE23+4*AG23+3*AH23+2*AF23+1*AI23+0.5*(AVERAGE(AE23:AF23))+0.5*AVERAGE(AE23,AI23)+1*(AVERAGE(AE23,AG23))+1*AVERAGE(AE23,AH23))/(5+4+3+2+1+0.5+0.5+1+1))</f>
        <v>6.1944444444444446</v>
      </c>
      <c r="AM23" s="246">
        <f t="shared" si="60"/>
        <v>0</v>
      </c>
      <c r="AN23" s="246">
        <f t="shared" si="61"/>
        <v>1</v>
      </c>
      <c r="AO23" s="246">
        <f t="shared" si="62"/>
        <v>0</v>
      </c>
      <c r="AP23" s="246">
        <f t="shared" si="63"/>
        <v>0</v>
      </c>
      <c r="AQ23" s="246">
        <f t="shared" si="64"/>
        <v>0</v>
      </c>
      <c r="AR23" s="246">
        <f t="shared" si="65"/>
        <v>1</v>
      </c>
      <c r="AS23" s="246">
        <f t="shared" si="66"/>
        <v>1</v>
      </c>
      <c r="AT23" s="246">
        <f t="shared" si="67"/>
        <v>1</v>
      </c>
      <c r="AU23" s="247">
        <f t="shared" si="68"/>
        <v>1</v>
      </c>
      <c r="AV23" s="58">
        <f>IF($D23="","",VLOOKUP($D23,CTBat!$G$10:$BR$203,AV$1,FALSE))</f>
        <v>7</v>
      </c>
      <c r="AW23" s="37">
        <f>IF($D23="","",VLOOKUP($D23,CTBat!$G$10:$BR$203,AW$1,FALSE))</f>
        <v>6</v>
      </c>
      <c r="AX23" s="37">
        <f>IF($D23="","",VLOOKUP($D23,CTBat!$G$10:$BR$203,AX$1,FALSE))</f>
        <v>6</v>
      </c>
      <c r="AY23" s="37">
        <f>IF($D23="","",VLOOKUP($D23,CTBat!$G$10:$BR$203,AY$1,FALSE))</f>
        <v>7</v>
      </c>
      <c r="AZ23" s="38">
        <f>IF($D23="","",VLOOKUP($D23,CTBat!$G$10:$BR$203,AZ$1,FALSE))</f>
        <v>6</v>
      </c>
      <c r="BA23" s="67">
        <f t="shared" si="69"/>
        <v>6.5555555555555554</v>
      </c>
    </row>
    <row r="24" spans="1:53">
      <c r="A24">
        <v>3</v>
      </c>
      <c r="B24" s="258"/>
      <c r="C24" s="39" t="s">
        <v>101</v>
      </c>
      <c r="D24" s="40"/>
      <c r="E24" s="40" t="str">
        <f>IF($D24="","",VLOOKUP($D24,CTBat!$G$10:$BR$203,E$1,FALSE))</f>
        <v/>
      </c>
      <c r="F24" s="40" t="str">
        <f>IF($D24="","",VLOOKUP($D24,CTBat!$G$10:$BR$203,F$1,FALSE))</f>
        <v/>
      </c>
      <c r="G24" s="54" t="str">
        <f>IF($D24="","",IF(K24&gt;5,1,0))</f>
        <v/>
      </c>
      <c r="H24" s="244" t="str">
        <f t="shared" si="50"/>
        <v/>
      </c>
      <c r="I24" s="244" t="str">
        <f t="shared" si="50"/>
        <v/>
      </c>
      <c r="J24" s="244" t="str">
        <f>IF($D24="","","-")</f>
        <v/>
      </c>
      <c r="K24" s="59" t="str">
        <f>IF($D24="","",VLOOKUP($D24,CTBat!$G$10:$BR$203,K$1,FALSE))</f>
        <v/>
      </c>
      <c r="L24" s="40" t="str">
        <f>IF($D24="","",VLOOKUP($D24,CTBat!$G$10:$BR$203,L$1,FALSE))</f>
        <v/>
      </c>
      <c r="M24" s="42" t="str">
        <f>IF($D24="","",VLOOKUP($D24,CTBat!$G$10:$BR$203,M$1,FALSE))</f>
        <v/>
      </c>
      <c r="N24" s="40" t="str">
        <f>IF($D24="","",VLOOKUP($D24,CTBat!$G$10:$BR$203,N$1,FALSE))</f>
        <v/>
      </c>
      <c r="O24" s="40" t="str">
        <f>IF($D24="","",VLOOKUP($D24,CTBat!$G$10:$BR$203,O$1,FALSE))</f>
        <v/>
      </c>
      <c r="P24" s="40" t="str">
        <f>IF($D24="","",VLOOKUP($D24,CTBat!$G$10:$BR$203,P$1,FALSE))</f>
        <v/>
      </c>
      <c r="Q24" s="40" t="str">
        <f>IF($D24="","",VLOOKUP($D24,CTBat!$G$10:$BR$203,Q$1,FALSE))</f>
        <v/>
      </c>
      <c r="R24" s="40" t="str">
        <f>IF($D24="","",VLOOKUP($D24,CTBat!$G$10:$BR$203,R$1,FALSE))</f>
        <v/>
      </c>
      <c r="S24" s="40" t="str">
        <f>IF($D24="","",VLOOKUP($D24,CTBat!$G$10:$BR$203,S$1,FALSE))</f>
        <v/>
      </c>
      <c r="T24" s="40" t="str">
        <f>IF($D24="","",VLOOKUP($D24,CTBat!$G$10:$BR$203,T$1,FALSE))</f>
        <v/>
      </c>
      <c r="U24" s="42" t="str">
        <f>IF($D24="","",VLOOKUP($D24,CTBat!$G$10:$BR$203,U$1,FALSE))</f>
        <v/>
      </c>
      <c r="V24" s="244" t="str">
        <f t="shared" si="51"/>
        <v/>
      </c>
      <c r="W24" s="244" t="str">
        <f t="shared" si="52"/>
        <v/>
      </c>
      <c r="X24" s="244" t="str">
        <f t="shared" si="53"/>
        <v/>
      </c>
      <c r="Y24" s="244" t="str">
        <f t="shared" si="54"/>
        <v/>
      </c>
      <c r="Z24" s="244" t="str">
        <f t="shared" si="55"/>
        <v/>
      </c>
      <c r="AA24" s="244" t="str">
        <f t="shared" si="56"/>
        <v/>
      </c>
      <c r="AB24" s="244" t="str">
        <f t="shared" si="57"/>
        <v/>
      </c>
      <c r="AC24" s="244" t="str">
        <f t="shared" si="58"/>
        <v/>
      </c>
      <c r="AD24" s="245" t="str">
        <f t="shared" si="59"/>
        <v/>
      </c>
      <c r="AE24" s="40" t="str">
        <f>IF($D24="","",VLOOKUP($D24,CTBat!$G$10:$BR$203,AE$1,FALSE))</f>
        <v/>
      </c>
      <c r="AF24" s="40" t="str">
        <f>IF($D24="","",VLOOKUP($D24,CTBat!$G$10:$BR$203,AF$1,FALSE))</f>
        <v/>
      </c>
      <c r="AG24" s="40" t="str">
        <f>IF($D24="","",VLOOKUP($D24,CTBat!$G$10:$BR$203,AG$1,FALSE))</f>
        <v/>
      </c>
      <c r="AH24" s="40" t="str">
        <f>IF($D24="","",VLOOKUP($D24,CTBat!$G$10:$BR$203,AH$1,FALSE))</f>
        <v/>
      </c>
      <c r="AI24" s="40" t="str">
        <f>IF($D24="","",VLOOKUP($D24,CTBat!$G$10:$BR$203,AI$1,FALSE))</f>
        <v/>
      </c>
      <c r="AJ24" s="40" t="str">
        <f>IF($D24="","",VLOOKUP($D24,CTBat!$G$10:$BR$203,AJ$1,FALSE))</f>
        <v/>
      </c>
      <c r="AK24" s="42" t="str">
        <f>IF($D24="","",VLOOKUP($D24,CTBat!$G$10:$BR$203,AK$1,FALSE))</f>
        <v/>
      </c>
      <c r="AL24" s="68" t="str">
        <f t="shared" si="70"/>
        <v/>
      </c>
      <c r="AM24" s="244" t="str">
        <f t="shared" si="60"/>
        <v/>
      </c>
      <c r="AN24" s="244" t="str">
        <f t="shared" si="61"/>
        <v/>
      </c>
      <c r="AO24" s="244" t="str">
        <f t="shared" si="62"/>
        <v/>
      </c>
      <c r="AP24" s="244" t="str">
        <f t="shared" si="63"/>
        <v/>
      </c>
      <c r="AQ24" s="244" t="str">
        <f t="shared" si="64"/>
        <v/>
      </c>
      <c r="AR24" s="244" t="str">
        <f t="shared" si="65"/>
        <v/>
      </c>
      <c r="AS24" s="244" t="str">
        <f t="shared" si="66"/>
        <v/>
      </c>
      <c r="AT24" s="244" t="str">
        <f t="shared" si="67"/>
        <v/>
      </c>
      <c r="AU24" s="245" t="str">
        <f t="shared" si="68"/>
        <v/>
      </c>
      <c r="AV24" s="59" t="str">
        <f>IF($D24="","",VLOOKUP($D24,CTBat!$G$10:$BR$203,AV$1,FALSE))</f>
        <v/>
      </c>
      <c r="AW24" s="40" t="str">
        <f>IF($D24="","",VLOOKUP($D24,CTBat!$G$10:$BR$203,AW$1,FALSE))</f>
        <v/>
      </c>
      <c r="AX24" s="40" t="str">
        <f>IF($D24="","",VLOOKUP($D24,CTBat!$G$10:$BR$203,AX$1,FALSE))</f>
        <v/>
      </c>
      <c r="AY24" s="40" t="str">
        <f>IF($D24="","",VLOOKUP($D24,CTBat!$G$10:$BR$203,AY$1,FALSE))</f>
        <v/>
      </c>
      <c r="AZ24" s="42" t="str">
        <f>IF($D24="","",VLOOKUP($D24,CTBat!$G$10:$BR$203,AZ$1,FALSE))</f>
        <v/>
      </c>
      <c r="BA24" s="68" t="str">
        <f t="shared" si="69"/>
        <v/>
      </c>
    </row>
    <row r="26" spans="1:53" s="1" customFormat="1">
      <c r="B26" s="259"/>
      <c r="C26" s="241" t="s">
        <v>155</v>
      </c>
      <c r="D26" s="44" t="s">
        <v>118</v>
      </c>
      <c r="E26" s="44" t="s">
        <v>119</v>
      </c>
      <c r="F26" s="50" t="s">
        <v>101</v>
      </c>
      <c r="G26" s="242" t="s">
        <v>156</v>
      </c>
      <c r="H26" s="242" t="s">
        <v>160</v>
      </c>
      <c r="I26" s="243" t="s">
        <v>158</v>
      </c>
      <c r="J26" s="88" t="s">
        <v>182</v>
      </c>
      <c r="K26" s="241" t="s">
        <v>92</v>
      </c>
      <c r="L26" s="242" t="s">
        <v>145</v>
      </c>
      <c r="M26" s="242" t="s">
        <v>146</v>
      </c>
      <c r="N26" s="242" t="s">
        <v>203</v>
      </c>
      <c r="O26" s="242" t="s">
        <v>93</v>
      </c>
      <c r="P26" s="241" t="s">
        <v>204</v>
      </c>
      <c r="Q26" s="243" t="s">
        <v>205</v>
      </c>
      <c r="R26" s="241" t="s">
        <v>213</v>
      </c>
      <c r="S26" s="87" t="s">
        <v>231</v>
      </c>
      <c r="U26" s="241" t="s">
        <v>119</v>
      </c>
      <c r="V26" s="241" t="s">
        <v>214</v>
      </c>
      <c r="W26" s="243" t="s">
        <v>235</v>
      </c>
      <c r="X26" s="242" t="s">
        <v>213</v>
      </c>
      <c r="Y26" s="243" t="s">
        <v>231</v>
      </c>
      <c r="AA26" s="1" t="s">
        <v>452</v>
      </c>
      <c r="AH26" s="336" t="s">
        <v>484</v>
      </c>
      <c r="AI26" s="337"/>
      <c r="AJ26" s="337"/>
      <c r="AK26" s="337"/>
      <c r="AL26" s="337"/>
      <c r="AM26" s="337"/>
      <c r="AN26" s="337"/>
      <c r="AO26" s="337"/>
      <c r="AP26" s="337"/>
      <c r="AQ26" s="337"/>
      <c r="AR26" s="337"/>
      <c r="AS26" s="337"/>
      <c r="AT26" s="337"/>
      <c r="AU26" s="338"/>
    </row>
    <row r="27" spans="1:53">
      <c r="B27" s="259"/>
      <c r="C27" s="36">
        <v>1</v>
      </c>
      <c r="D27" s="57" t="s">
        <v>381</v>
      </c>
      <c r="E27" s="33" t="s">
        <v>100</v>
      </c>
      <c r="F27" s="38" t="str">
        <f t="shared" ref="F27" si="71">IF($D27="","",VLOOKUP($D27,$D$3:$AL$24,$F$1-2,FALSE))</f>
        <v>L</v>
      </c>
      <c r="G27" s="246">
        <f t="shared" ref="G27:G35" si="72">IF($D27="","",VLOOKUP($D27,$D$3:$AL$24,18+$C27,FALSE))</f>
        <v>1</v>
      </c>
      <c r="H27" s="246">
        <f>IF($D27="","",IF(VLOOKUP($D27,$D$3:$AL$24,18+3,FALSE)=1,3,IF(VLOOKUP($D27,$D$3:$AL$24,18+4,FALSE)=1,4,IF(VLOOKUP($D27,$D$3:$AL$24,18+1,FALSE)=1,1,IF(VLOOKUP($D27,$D$3:$AL$24,18+5,FALSE)=1,5,IF(VLOOKUP($D27,$D$3:$AL$24,18+2,FALSE)=1,2,IF(VLOOKUP($D27,$D$3:$AL$24,18+6,FALSE)=1,6,IF(VLOOKUP($D27,$D$3:$AL$24,18+7,FALSE)=1,7,IF(VLOOKUP($D27,$D$3:$AL$24,18+8,FALSE)=1,8,9)))))))))</f>
        <v>1</v>
      </c>
      <c r="I27" s="8">
        <f>IF($D27="","",VLOOKUP($D27,$D$3:$AL$24,35,FALSE))</f>
        <v>7.208333333333333</v>
      </c>
      <c r="J27" s="89">
        <v>3</v>
      </c>
      <c r="K27" s="53">
        <f>IF($D27="","",VLOOKUP($D27,$D$3:$BA$24,34+AE$1,FALSE))</f>
        <v>10</v>
      </c>
      <c r="L27" s="246">
        <f t="shared" ref="L27:L35" si="73">IF($D27="","",VLOOKUP($D27,$D$3:$BA$24,34+AF$1,FALSE))</f>
        <v>7</v>
      </c>
      <c r="M27" s="246">
        <f t="shared" ref="M27:M35" si="74">IF($D27="","",VLOOKUP($D27,$D$3:$BA$24,34+AG$1,FALSE))</f>
        <v>5</v>
      </c>
      <c r="N27" s="246">
        <f t="shared" ref="N27:N35" si="75">IF($D27="","",VLOOKUP($D27,$D$3:$BA$24,34+AH$1,FALSE))</f>
        <v>7</v>
      </c>
      <c r="O27" s="246">
        <f t="shared" ref="O27:O35" si="76">IF($D27="","",VLOOKUP($D27,$D$3:$BA$24,34+AI$1,FALSE))</f>
        <v>8</v>
      </c>
      <c r="P27" s="53">
        <f t="shared" ref="P27:Q35" si="77">IF($D27="","",VLOOKUP($D27,$D$3:$BA$24,1+AJ$1,FALSE))</f>
        <v>7</v>
      </c>
      <c r="Q27" s="247">
        <f t="shared" si="77"/>
        <v>9</v>
      </c>
      <c r="R27" s="116">
        <f t="shared" ref="R27:R35" si="78">IF($D27="","",IF($E27="DH","-",VLOOKUP($D27,$D$2:$BA$24,9+VLOOKUP($E27,$U$26:$V$34,2,FALSE),FALSE)))</f>
        <v>10</v>
      </c>
      <c r="S27" s="101">
        <f t="shared" ref="S27:S35" si="79">IF($D27="","",IF($E27="DH","-",VLOOKUP($D27,$D$2:$BA$24,VLOOKUP($E27,$U$26:$W$34,3,FALSE),FALSE)))</f>
        <v>10</v>
      </c>
      <c r="U27" s="53" t="s">
        <v>92</v>
      </c>
      <c r="V27" s="53">
        <v>2</v>
      </c>
      <c r="W27" s="247">
        <v>8</v>
      </c>
      <c r="X27" s="246" t="str">
        <f>VLOOKUP($U27,$E$26:$S$35,14,FALSE)</f>
        <v/>
      </c>
      <c r="Y27" s="247" t="str">
        <f>VLOOKUP($U27,$E$26:$S$35,15,FALSE)</f>
        <v/>
      </c>
      <c r="AA27" t="s">
        <v>453</v>
      </c>
      <c r="AB27">
        <v>1</v>
      </c>
      <c r="AH27" s="201">
        <v>1</v>
      </c>
      <c r="AI27" s="331" t="s">
        <v>482</v>
      </c>
      <c r="AJ27" s="331"/>
      <c r="AK27" s="331"/>
      <c r="AL27" s="331"/>
      <c r="AM27" s="331"/>
      <c r="AN27" s="331"/>
      <c r="AO27" s="331"/>
      <c r="AP27" s="331"/>
      <c r="AQ27" s="331"/>
      <c r="AR27" s="331"/>
      <c r="AS27" s="331"/>
      <c r="AT27" s="331"/>
      <c r="AU27" s="332"/>
    </row>
    <row r="28" spans="1:53">
      <c r="B28" s="259"/>
      <c r="C28" s="36">
        <v>2</v>
      </c>
      <c r="D28" s="58" t="s">
        <v>440</v>
      </c>
      <c r="E28" s="37" t="s">
        <v>94</v>
      </c>
      <c r="F28" s="38" t="str">
        <f>IF($D28="","",VLOOKUP($D28,$D$3:$AL$24,$F$1-2,FALSE))</f>
        <v>R</v>
      </c>
      <c r="G28" s="246">
        <f t="shared" si="72"/>
        <v>1</v>
      </c>
      <c r="H28" s="246">
        <f t="shared" ref="H28:H35" si="80">IF($D28="","",IF(VLOOKUP($D28,$D$3:$AL$24,18+3,FALSE)=1,3,IF(VLOOKUP($D28,$D$3:$AL$24,18+4,FALSE)=1,4,IF(VLOOKUP($D28,$D$3:$AL$24,18+1,FALSE)=1,1,IF(VLOOKUP($D28,$D$3:$AL$24,18+5,FALSE)=1,5,IF(VLOOKUP($D28,$D$3:$AL$24,18+2,FALSE)=1,2,IF(VLOOKUP($D28,$D$3:$AL$24,18+6,FALSE)=1,6,IF(VLOOKUP($D28,$D$3:$AL$24,18+7,FALSE)=1,7,IF(VLOOKUP($D28,$D$3:$AL$24,18+8,FALSE)=1,8,9)))))))))</f>
        <v>1</v>
      </c>
      <c r="I28" s="8">
        <f t="shared" ref="I28:I35" si="81">IF($D28="","",VLOOKUP($D28,$D$3:$AL$24,35,FALSE))</f>
        <v>6.708333333333333</v>
      </c>
      <c r="J28" s="89">
        <v>5</v>
      </c>
      <c r="K28" s="53">
        <f t="shared" ref="K28:K35" si="82">IF($D28="","",VLOOKUP($D28,$D$3:$BA$24,34+AE$1,FALSE))</f>
        <v>8</v>
      </c>
      <c r="L28" s="246">
        <f t="shared" si="73"/>
        <v>6</v>
      </c>
      <c r="M28" s="246">
        <f t="shared" si="74"/>
        <v>7</v>
      </c>
      <c r="N28" s="246">
        <f t="shared" si="75"/>
        <v>10</v>
      </c>
      <c r="O28" s="246">
        <f t="shared" si="76"/>
        <v>10</v>
      </c>
      <c r="P28" s="53">
        <f t="shared" si="77"/>
        <v>5</v>
      </c>
      <c r="Q28" s="247">
        <f t="shared" si="77"/>
        <v>5</v>
      </c>
      <c r="R28" s="117">
        <f t="shared" si="78"/>
        <v>7</v>
      </c>
      <c r="S28" s="101">
        <f t="shared" si="79"/>
        <v>5</v>
      </c>
      <c r="U28" s="53" t="s">
        <v>94</v>
      </c>
      <c r="V28" s="53">
        <v>3</v>
      </c>
      <c r="W28" s="247">
        <v>9</v>
      </c>
      <c r="X28" s="246">
        <f t="shared" ref="X28:X34" si="83">VLOOKUP($U28,$E$26:$S$35,14,FALSE)</f>
        <v>7</v>
      </c>
      <c r="Y28" s="247">
        <f t="shared" ref="Y28:Y34" si="84">VLOOKUP($U28,$E$26:$S$35,15,FALSE)</f>
        <v>5</v>
      </c>
      <c r="AA28" t="s">
        <v>454</v>
      </c>
      <c r="AB28">
        <v>3</v>
      </c>
      <c r="AH28" s="77">
        <v>2</v>
      </c>
      <c r="AI28" s="331" t="s">
        <v>483</v>
      </c>
      <c r="AJ28" s="331"/>
      <c r="AK28" s="331"/>
      <c r="AL28" s="331"/>
      <c r="AM28" s="331"/>
      <c r="AN28" s="331"/>
      <c r="AO28" s="331"/>
      <c r="AP28" s="331"/>
      <c r="AQ28" s="331"/>
      <c r="AR28" s="331"/>
      <c r="AS28" s="331"/>
      <c r="AT28" s="331"/>
      <c r="AU28" s="332"/>
    </row>
    <row r="29" spans="1:53">
      <c r="B29" s="259"/>
      <c r="C29" s="36">
        <v>3</v>
      </c>
      <c r="D29" s="58" t="s">
        <v>408</v>
      </c>
      <c r="E29" s="65" t="s">
        <v>98</v>
      </c>
      <c r="F29" s="38" t="str">
        <f t="shared" ref="F29:F35" si="85">IF($D29="","",VLOOKUP($D29,$D$3:$AL$24,$F$1-2,FALSE))</f>
        <v>L</v>
      </c>
      <c r="G29" s="246">
        <f t="shared" si="72"/>
        <v>0</v>
      </c>
      <c r="H29" s="246">
        <f t="shared" si="80"/>
        <v>1</v>
      </c>
      <c r="I29" s="8">
        <f t="shared" si="81"/>
        <v>7.3055555555555554</v>
      </c>
      <c r="J29" s="89">
        <v>1</v>
      </c>
      <c r="K29" s="53">
        <f t="shared" si="82"/>
        <v>8</v>
      </c>
      <c r="L29" s="246">
        <f t="shared" si="73"/>
        <v>7</v>
      </c>
      <c r="M29" s="246">
        <f t="shared" si="74"/>
        <v>7</v>
      </c>
      <c r="N29" s="246">
        <f t="shared" si="75"/>
        <v>6</v>
      </c>
      <c r="O29" s="246">
        <f t="shared" si="76"/>
        <v>9</v>
      </c>
      <c r="P29" s="53">
        <f t="shared" si="77"/>
        <v>7</v>
      </c>
      <c r="Q29" s="247">
        <f t="shared" si="77"/>
        <v>10</v>
      </c>
      <c r="R29" s="117">
        <f t="shared" si="78"/>
        <v>10</v>
      </c>
      <c r="S29" s="101">
        <f t="shared" si="79"/>
        <v>4</v>
      </c>
      <c r="U29" s="53" t="s">
        <v>95</v>
      </c>
      <c r="V29" s="53">
        <v>4</v>
      </c>
      <c r="W29" s="247">
        <v>9</v>
      </c>
      <c r="X29" s="246" t="str">
        <f t="shared" si="83"/>
        <v/>
      </c>
      <c r="Y29" s="247" t="str">
        <f t="shared" si="84"/>
        <v/>
      </c>
      <c r="AA29" t="s">
        <v>457</v>
      </c>
      <c r="AB29">
        <v>5</v>
      </c>
      <c r="AH29" s="77">
        <v>3</v>
      </c>
      <c r="AI29" s="331" t="s">
        <v>347</v>
      </c>
      <c r="AJ29" s="331"/>
      <c r="AK29" s="331"/>
      <c r="AL29" s="331"/>
      <c r="AM29" s="331"/>
      <c r="AN29" s="331"/>
      <c r="AO29" s="331"/>
      <c r="AP29" s="331"/>
      <c r="AQ29" s="331"/>
      <c r="AR29" s="331"/>
      <c r="AS29" s="331"/>
      <c r="AT29" s="331"/>
      <c r="AU29" s="332"/>
    </row>
    <row r="30" spans="1:53">
      <c r="B30" s="259"/>
      <c r="C30" s="36">
        <v>4</v>
      </c>
      <c r="D30" s="58" t="s">
        <v>464</v>
      </c>
      <c r="E30" s="65" t="s">
        <v>18</v>
      </c>
      <c r="F30" s="38" t="e">
        <f t="shared" si="85"/>
        <v>#N/A</v>
      </c>
      <c r="G30" s="246" t="e">
        <f t="shared" si="72"/>
        <v>#N/A</v>
      </c>
      <c r="H30" s="246" t="e">
        <f t="shared" si="80"/>
        <v>#N/A</v>
      </c>
      <c r="I30" s="8" t="e">
        <f t="shared" si="81"/>
        <v>#N/A</v>
      </c>
      <c r="J30" s="89">
        <v>2</v>
      </c>
      <c r="K30" s="53" t="e">
        <f t="shared" si="82"/>
        <v>#N/A</v>
      </c>
      <c r="L30" s="246" t="e">
        <f t="shared" si="73"/>
        <v>#N/A</v>
      </c>
      <c r="M30" s="246" t="e">
        <f t="shared" si="74"/>
        <v>#N/A</v>
      </c>
      <c r="N30" s="246" t="e">
        <f t="shared" si="75"/>
        <v>#N/A</v>
      </c>
      <c r="O30" s="246" t="e">
        <f t="shared" si="76"/>
        <v>#N/A</v>
      </c>
      <c r="P30" s="53" t="e">
        <f t="shared" si="77"/>
        <v>#N/A</v>
      </c>
      <c r="Q30" s="247" t="e">
        <f t="shared" si="77"/>
        <v>#N/A</v>
      </c>
      <c r="R30" s="117" t="str">
        <f t="shared" si="78"/>
        <v>-</v>
      </c>
      <c r="S30" s="101" t="str">
        <f t="shared" si="79"/>
        <v>-</v>
      </c>
      <c r="U30" s="53" t="s">
        <v>96</v>
      </c>
      <c r="V30" s="53">
        <v>5</v>
      </c>
      <c r="W30" s="247">
        <v>9</v>
      </c>
      <c r="X30" s="246">
        <f t="shared" si="83"/>
        <v>8</v>
      </c>
      <c r="Y30" s="247">
        <f t="shared" si="84"/>
        <v>9</v>
      </c>
      <c r="AA30" t="s">
        <v>456</v>
      </c>
      <c r="AB30">
        <v>2</v>
      </c>
      <c r="AH30" s="77">
        <v>4</v>
      </c>
      <c r="AI30" s="341"/>
      <c r="AJ30" s="341"/>
      <c r="AK30" s="341"/>
      <c r="AL30" s="341"/>
      <c r="AM30" s="341"/>
      <c r="AN30" s="341"/>
      <c r="AO30" s="341"/>
      <c r="AP30" s="341"/>
      <c r="AQ30" s="341"/>
      <c r="AR30" s="341"/>
      <c r="AS30" s="341"/>
      <c r="AT30" s="341"/>
      <c r="AU30" s="341"/>
    </row>
    <row r="31" spans="1:53">
      <c r="B31" s="259"/>
      <c r="C31" s="36">
        <v>5</v>
      </c>
      <c r="D31" s="58" t="s">
        <v>386</v>
      </c>
      <c r="E31" s="65" t="s">
        <v>96</v>
      </c>
      <c r="F31" s="38" t="str">
        <f t="shared" si="85"/>
        <v>R</v>
      </c>
      <c r="G31" s="246">
        <f t="shared" si="72"/>
        <v>0</v>
      </c>
      <c r="H31" s="246">
        <f t="shared" si="80"/>
        <v>6</v>
      </c>
      <c r="I31" s="8">
        <f t="shared" si="81"/>
        <v>5.2638888888888893</v>
      </c>
      <c r="J31" s="89">
        <v>4</v>
      </c>
      <c r="K31" s="53">
        <f t="shared" si="82"/>
        <v>8</v>
      </c>
      <c r="L31" s="246">
        <f t="shared" si="73"/>
        <v>5</v>
      </c>
      <c r="M31" s="246">
        <f t="shared" si="74"/>
        <v>7</v>
      </c>
      <c r="N31" s="246">
        <f t="shared" si="75"/>
        <v>5</v>
      </c>
      <c r="O31" s="246">
        <f t="shared" si="76"/>
        <v>5</v>
      </c>
      <c r="P31" s="53">
        <f t="shared" si="77"/>
        <v>2</v>
      </c>
      <c r="Q31" s="247">
        <f t="shared" si="77"/>
        <v>5</v>
      </c>
      <c r="R31" s="117">
        <f t="shared" si="78"/>
        <v>8</v>
      </c>
      <c r="S31" s="101">
        <f t="shared" si="79"/>
        <v>9</v>
      </c>
      <c r="U31" s="53" t="s">
        <v>97</v>
      </c>
      <c r="V31" s="53">
        <v>6</v>
      </c>
      <c r="W31" s="247">
        <v>9</v>
      </c>
      <c r="X31" s="246" t="str">
        <f t="shared" si="83"/>
        <v/>
      </c>
      <c r="Y31" s="247" t="str">
        <f t="shared" si="84"/>
        <v/>
      </c>
      <c r="AA31" t="s">
        <v>455</v>
      </c>
      <c r="AB31">
        <v>4</v>
      </c>
      <c r="AH31" s="78">
        <v>5</v>
      </c>
      <c r="AI31" s="334"/>
      <c r="AJ31" s="334"/>
      <c r="AK31" s="334"/>
      <c r="AL31" s="334"/>
      <c r="AM31" s="334"/>
      <c r="AN31" s="334"/>
      <c r="AO31" s="334"/>
      <c r="AP31" s="334"/>
      <c r="AQ31" s="334"/>
      <c r="AR31" s="334"/>
      <c r="AS31" s="334"/>
      <c r="AT31" s="334"/>
      <c r="AU31" s="335"/>
    </row>
    <row r="32" spans="1:53">
      <c r="B32" s="259"/>
      <c r="C32" s="36">
        <v>6</v>
      </c>
      <c r="D32" s="58"/>
      <c r="E32" s="65" t="s">
        <v>92</v>
      </c>
      <c r="F32" s="38" t="str">
        <f t="shared" si="85"/>
        <v/>
      </c>
      <c r="G32" s="246" t="str">
        <f t="shared" si="72"/>
        <v/>
      </c>
      <c r="H32" s="246" t="str">
        <f t="shared" si="80"/>
        <v/>
      </c>
      <c r="I32" s="8" t="str">
        <f t="shared" si="81"/>
        <v/>
      </c>
      <c r="J32" s="89">
        <v>6</v>
      </c>
      <c r="K32" s="53" t="str">
        <f t="shared" si="82"/>
        <v/>
      </c>
      <c r="L32" s="246" t="str">
        <f t="shared" si="73"/>
        <v/>
      </c>
      <c r="M32" s="246" t="str">
        <f t="shared" si="74"/>
        <v/>
      </c>
      <c r="N32" s="246" t="str">
        <f t="shared" si="75"/>
        <v/>
      </c>
      <c r="O32" s="246" t="str">
        <f t="shared" si="76"/>
        <v/>
      </c>
      <c r="P32" s="53" t="str">
        <f t="shared" si="77"/>
        <v/>
      </c>
      <c r="Q32" s="247" t="str">
        <f t="shared" si="77"/>
        <v/>
      </c>
      <c r="R32" s="117" t="str">
        <f t="shared" si="78"/>
        <v/>
      </c>
      <c r="S32" s="101" t="str">
        <f t="shared" si="79"/>
        <v/>
      </c>
      <c r="U32" s="53" t="s">
        <v>98</v>
      </c>
      <c r="V32" s="53">
        <v>7</v>
      </c>
      <c r="W32" s="247">
        <v>10</v>
      </c>
      <c r="X32" s="246">
        <f t="shared" si="83"/>
        <v>10</v>
      </c>
      <c r="Y32" s="247">
        <f t="shared" si="84"/>
        <v>4</v>
      </c>
      <c r="AA32" t="s">
        <v>459</v>
      </c>
      <c r="AB32">
        <v>6</v>
      </c>
    </row>
    <row r="33" spans="1:29">
      <c r="B33" s="259"/>
      <c r="C33" s="36">
        <v>7</v>
      </c>
      <c r="D33" s="58"/>
      <c r="E33" s="65" t="s">
        <v>99</v>
      </c>
      <c r="F33" s="38" t="str">
        <f t="shared" si="85"/>
        <v/>
      </c>
      <c r="G33" s="246" t="str">
        <f t="shared" si="72"/>
        <v/>
      </c>
      <c r="H33" s="246" t="str">
        <f t="shared" si="80"/>
        <v/>
      </c>
      <c r="I33" s="8" t="str">
        <f t="shared" si="81"/>
        <v/>
      </c>
      <c r="J33" s="89">
        <v>7</v>
      </c>
      <c r="K33" s="53" t="str">
        <f t="shared" si="82"/>
        <v/>
      </c>
      <c r="L33" s="246" t="str">
        <f t="shared" si="73"/>
        <v/>
      </c>
      <c r="M33" s="246" t="str">
        <f t="shared" si="74"/>
        <v/>
      </c>
      <c r="N33" s="246" t="str">
        <f t="shared" si="75"/>
        <v/>
      </c>
      <c r="O33" s="246" t="str">
        <f t="shared" si="76"/>
        <v/>
      </c>
      <c r="P33" s="53" t="str">
        <f t="shared" si="77"/>
        <v/>
      </c>
      <c r="Q33" s="247" t="str">
        <f t="shared" si="77"/>
        <v/>
      </c>
      <c r="R33" s="117" t="str">
        <f t="shared" si="78"/>
        <v/>
      </c>
      <c r="S33" s="101" t="str">
        <f t="shared" si="79"/>
        <v/>
      </c>
      <c r="U33" s="53" t="s">
        <v>99</v>
      </c>
      <c r="V33" s="53">
        <v>8</v>
      </c>
      <c r="W33" s="247">
        <v>10</v>
      </c>
      <c r="X33" s="246" t="str">
        <f t="shared" si="83"/>
        <v/>
      </c>
      <c r="Y33" s="247" t="str">
        <f t="shared" si="84"/>
        <v/>
      </c>
      <c r="AA33" t="s">
        <v>460</v>
      </c>
      <c r="AB33">
        <v>7</v>
      </c>
    </row>
    <row r="34" spans="1:29">
      <c r="B34" s="259"/>
      <c r="C34" s="36">
        <v>8</v>
      </c>
      <c r="D34" s="58"/>
      <c r="E34" s="65" t="s">
        <v>97</v>
      </c>
      <c r="F34" s="38" t="str">
        <f t="shared" si="85"/>
        <v/>
      </c>
      <c r="G34" s="246" t="str">
        <f t="shared" si="72"/>
        <v/>
      </c>
      <c r="H34" s="246" t="str">
        <f t="shared" si="80"/>
        <v/>
      </c>
      <c r="I34" s="8" t="str">
        <f t="shared" si="81"/>
        <v/>
      </c>
      <c r="J34" s="89">
        <v>8</v>
      </c>
      <c r="K34" s="53" t="str">
        <f t="shared" si="82"/>
        <v/>
      </c>
      <c r="L34" s="246" t="str">
        <f t="shared" si="73"/>
        <v/>
      </c>
      <c r="M34" s="246" t="str">
        <f t="shared" si="74"/>
        <v/>
      </c>
      <c r="N34" s="246" t="str">
        <f t="shared" si="75"/>
        <v/>
      </c>
      <c r="O34" s="246" t="str">
        <f t="shared" si="76"/>
        <v/>
      </c>
      <c r="P34" s="53" t="str">
        <f t="shared" si="77"/>
        <v/>
      </c>
      <c r="Q34" s="247" t="str">
        <f t="shared" si="77"/>
        <v/>
      </c>
      <c r="R34" s="117" t="str">
        <f t="shared" si="78"/>
        <v/>
      </c>
      <c r="S34" s="101" t="str">
        <f t="shared" si="79"/>
        <v/>
      </c>
      <c r="U34" s="54" t="s">
        <v>100</v>
      </c>
      <c r="V34" s="54">
        <v>9</v>
      </c>
      <c r="W34" s="245">
        <v>10</v>
      </c>
      <c r="X34" s="244">
        <f t="shared" si="83"/>
        <v>10</v>
      </c>
      <c r="Y34" s="245">
        <f t="shared" si="84"/>
        <v>10</v>
      </c>
      <c r="AA34" t="s">
        <v>461</v>
      </c>
      <c r="AB34">
        <v>8</v>
      </c>
    </row>
    <row r="35" spans="1:29">
      <c r="B35" s="259"/>
      <c r="C35" s="39">
        <v>9</v>
      </c>
      <c r="D35" s="59"/>
      <c r="E35" s="40" t="s">
        <v>95</v>
      </c>
      <c r="F35" s="42" t="str">
        <f t="shared" si="85"/>
        <v/>
      </c>
      <c r="G35" s="244" t="str">
        <f t="shared" si="72"/>
        <v/>
      </c>
      <c r="H35" s="244" t="str">
        <f t="shared" si="80"/>
        <v/>
      </c>
      <c r="I35" s="69" t="str">
        <f t="shared" si="81"/>
        <v/>
      </c>
      <c r="J35" s="90">
        <v>9</v>
      </c>
      <c r="K35" s="54" t="str">
        <f t="shared" si="82"/>
        <v/>
      </c>
      <c r="L35" s="244" t="str">
        <f t="shared" si="73"/>
        <v/>
      </c>
      <c r="M35" s="244" t="str">
        <f t="shared" si="74"/>
        <v/>
      </c>
      <c r="N35" s="244" t="str">
        <f t="shared" si="75"/>
        <v/>
      </c>
      <c r="O35" s="244" t="str">
        <f t="shared" si="76"/>
        <v/>
      </c>
      <c r="P35" s="54" t="str">
        <f t="shared" si="77"/>
        <v/>
      </c>
      <c r="Q35" s="245" t="str">
        <f t="shared" si="77"/>
        <v/>
      </c>
      <c r="R35" s="118" t="str">
        <f t="shared" si="78"/>
        <v/>
      </c>
      <c r="S35" s="102" t="str">
        <f t="shared" si="79"/>
        <v/>
      </c>
      <c r="AA35" t="s">
        <v>458</v>
      </c>
      <c r="AB35">
        <v>9</v>
      </c>
    </row>
    <row r="36" spans="1:29">
      <c r="B36" s="259"/>
      <c r="C36" s="4"/>
      <c r="D36" s="37"/>
      <c r="E36" s="37"/>
      <c r="F36" s="37"/>
      <c r="G36" s="246"/>
      <c r="H36" s="246"/>
      <c r="I36" s="9"/>
    </row>
    <row r="37" spans="1:29">
      <c r="B37" s="259"/>
      <c r="C37" s="32" t="s">
        <v>194</v>
      </c>
      <c r="D37" s="35">
        <f>COUNTA(D3:D11,D14:D19,D22:D24)</f>
        <v>6</v>
      </c>
      <c r="E37" s="37"/>
      <c r="F37" s="37"/>
      <c r="G37" s="246"/>
      <c r="H37" s="246"/>
      <c r="I37" s="9"/>
    </row>
    <row r="38" spans="1:29">
      <c r="B38" s="259"/>
      <c r="C38" s="36" t="s">
        <v>195</v>
      </c>
      <c r="D38" s="38">
        <f>COUNTA(D42:D47,D50:D51,D54:D59)</f>
        <v>12</v>
      </c>
      <c r="E38" s="37"/>
      <c r="F38" s="37"/>
      <c r="G38" s="246"/>
      <c r="H38" s="246"/>
      <c r="I38" s="9"/>
    </row>
    <row r="39" spans="1:29">
      <c r="B39" s="259"/>
      <c r="C39" s="39" t="s">
        <v>196</v>
      </c>
      <c r="D39" s="42">
        <f>D37+D38</f>
        <v>18</v>
      </c>
      <c r="E39" s="37"/>
      <c r="F39" s="37"/>
      <c r="G39" s="246"/>
      <c r="H39" s="246"/>
      <c r="I39" s="9"/>
    </row>
    <row r="40" spans="1:29">
      <c r="J40">
        <v>6</v>
      </c>
      <c r="L40">
        <v>14</v>
      </c>
      <c r="M40">
        <v>15</v>
      </c>
      <c r="N40">
        <v>16</v>
      </c>
      <c r="O40">
        <v>17</v>
      </c>
      <c r="P40">
        <f>O40+2</f>
        <v>19</v>
      </c>
      <c r="Q40">
        <f t="shared" ref="Q40:Z40" si="86">P40+2</f>
        <v>21</v>
      </c>
      <c r="R40">
        <f t="shared" si="86"/>
        <v>23</v>
      </c>
      <c r="S40">
        <f t="shared" si="86"/>
        <v>25</v>
      </c>
      <c r="T40">
        <f t="shared" si="86"/>
        <v>27</v>
      </c>
      <c r="U40">
        <f t="shared" si="86"/>
        <v>29</v>
      </c>
      <c r="V40">
        <f t="shared" si="86"/>
        <v>31</v>
      </c>
      <c r="W40">
        <f t="shared" si="86"/>
        <v>33</v>
      </c>
      <c r="X40">
        <f t="shared" si="86"/>
        <v>35</v>
      </c>
      <c r="Y40">
        <f t="shared" si="86"/>
        <v>37</v>
      </c>
      <c r="Z40">
        <f t="shared" si="86"/>
        <v>39</v>
      </c>
      <c r="AA40">
        <v>41</v>
      </c>
      <c r="AB40">
        <v>42</v>
      </c>
      <c r="AC40">
        <v>43</v>
      </c>
    </row>
    <row r="41" spans="1:29" s="246" customFormat="1" ht="74.25">
      <c r="A41" s="73" t="s">
        <v>193</v>
      </c>
      <c r="B41" s="256" t="s">
        <v>485</v>
      </c>
      <c r="C41" s="241" t="s">
        <v>126</v>
      </c>
      <c r="D41" s="44" t="s">
        <v>118</v>
      </c>
      <c r="E41" s="44" t="s">
        <v>91</v>
      </c>
      <c r="F41" s="50" t="s">
        <v>102</v>
      </c>
      <c r="G41" s="46" t="s">
        <v>183</v>
      </c>
      <c r="H41" s="46" t="s">
        <v>184</v>
      </c>
      <c r="I41" s="46" t="s">
        <v>185</v>
      </c>
      <c r="J41" s="76" t="s">
        <v>212</v>
      </c>
      <c r="K41" s="76" t="s">
        <v>189</v>
      </c>
      <c r="L41" s="74" t="s">
        <v>186</v>
      </c>
      <c r="M41" s="74" t="s">
        <v>187</v>
      </c>
      <c r="N41" s="75" t="s">
        <v>188</v>
      </c>
      <c r="O41" s="74" t="s">
        <v>60</v>
      </c>
      <c r="P41" s="74" t="s">
        <v>62</v>
      </c>
      <c r="Q41" s="74" t="s">
        <v>64</v>
      </c>
      <c r="R41" s="74" t="s">
        <v>66</v>
      </c>
      <c r="S41" s="74" t="s">
        <v>68</v>
      </c>
      <c r="T41" s="74" t="s">
        <v>108</v>
      </c>
      <c r="U41" s="74" t="s">
        <v>71</v>
      </c>
      <c r="V41" s="74" t="s">
        <v>73</v>
      </c>
      <c r="W41" s="74" t="s">
        <v>75</v>
      </c>
      <c r="X41" s="74" t="s">
        <v>77</v>
      </c>
      <c r="Y41" s="74" t="s">
        <v>79</v>
      </c>
      <c r="Z41" s="75" t="s">
        <v>81</v>
      </c>
      <c r="AA41" s="79" t="s">
        <v>199</v>
      </c>
      <c r="AB41" s="74" t="s">
        <v>198</v>
      </c>
      <c r="AC41" s="75" t="s">
        <v>200</v>
      </c>
    </row>
    <row r="42" spans="1:29">
      <c r="A42" s="246">
        <v>1</v>
      </c>
      <c r="B42" s="263" t="s">
        <v>236</v>
      </c>
      <c r="C42" s="36" t="s">
        <v>108</v>
      </c>
      <c r="D42" s="246" t="s">
        <v>4</v>
      </c>
      <c r="E42" s="37">
        <f>IF($D42="","",VLOOKUP($D42,CTPit!$E$10:$BG$214,E$1,FALSE))</f>
        <v>25</v>
      </c>
      <c r="F42" s="38" t="str">
        <f>IF($D42="","",VLOOKUP($D42,CTPit!$E$10:$BG$214,F$1+1,FALSE))</f>
        <v>R</v>
      </c>
      <c r="G42" s="246">
        <f t="shared" ref="G42:G47" si="87">IF($D42="","",IF(AVERAGE(L42:N42)&gt;7,1,0))</f>
        <v>1</v>
      </c>
      <c r="H42" s="246">
        <f t="shared" ref="H42:H47" si="88">IF($D42="","",IF(AVERAGE(L42:N42)&gt;6.5,1,0))</f>
        <v>1</v>
      </c>
      <c r="I42" s="246">
        <f t="shared" ref="I42:I47" si="89">IF($D42="","",IF(AVERAGE(L42:N42)&gt;6,1,0))</f>
        <v>1</v>
      </c>
      <c r="J42" s="98" t="str">
        <f>IF($D42="","",VLOOKUP($D42,CTPit!$E$10:$BG$72,J$40,FALSE))</f>
        <v>R</v>
      </c>
      <c r="K42" s="77">
        <f t="shared" ref="K42:K47" si="90">IF($D42="","",COUNT(O42:Z42))</f>
        <v>5</v>
      </c>
      <c r="L42" s="246">
        <f>IF($D42="","",VLOOKUP($D42,CTPit!$E$10:$BG$72,L$40,FALSE))</f>
        <v>8</v>
      </c>
      <c r="M42" s="246">
        <f>IF($D42="","",VLOOKUP($D42,CTPit!$E$10:$BG$72,M$40,FALSE))</f>
        <v>7</v>
      </c>
      <c r="N42" s="247">
        <f>IF($D42="","",VLOOKUP($D42,CTPit!$E$10:$BG$72,N$40,FALSE))</f>
        <v>9</v>
      </c>
      <c r="O42" s="246">
        <f>IF($D42="","",VLOOKUP($D42,CTPit!$E$10:$BG$72,O$40,FALSE))</f>
        <v>8</v>
      </c>
      <c r="P42" s="246">
        <f>IF($D42="","",VLOOKUP($D42,CTPit!$E$10:$BG$72,P$40,FALSE))</f>
        <v>8</v>
      </c>
      <c r="Q42" s="246" t="str">
        <f>IF($D42="","",VLOOKUP($D42,CTPit!$E$10:$BG$72,Q$40,FALSE))</f>
        <v>-</v>
      </c>
      <c r="R42" s="246">
        <f>IF($D42="","",VLOOKUP($D42,CTPit!$E$10:$BG$72,R$40,FALSE))</f>
        <v>8</v>
      </c>
      <c r="S42" s="246">
        <f>IF($D42="","",VLOOKUP($D42,CTPit!$E$10:$BG$72,S$40,FALSE))</f>
        <v>8</v>
      </c>
      <c r="T42" s="246" t="str">
        <f>IF($D42="","",VLOOKUP($D42,CTPit!$E$10:$BG$72,T$40,FALSE))</f>
        <v>-</v>
      </c>
      <c r="U42" s="246" t="str">
        <f>IF($D42="","",VLOOKUP($D42,CTPit!$E$10:$BG$72,U$40,FALSE))</f>
        <v>-</v>
      </c>
      <c r="V42" s="246" t="str">
        <f>IF($D42="","",VLOOKUP($D42,CTPit!$E$10:$BG$72,V$40,FALSE))</f>
        <v>-</v>
      </c>
      <c r="W42" s="246">
        <f>IF($D42="","",VLOOKUP($D42,CTPit!$E$10:$BG$72,W$40,FALSE))</f>
        <v>2</v>
      </c>
      <c r="X42" s="246" t="str">
        <f>IF($D42="","",VLOOKUP($D42,CTPit!$E$10:$BG$72,X$40,FALSE))</f>
        <v>-</v>
      </c>
      <c r="Y42" s="246" t="str">
        <f>IF($D42="","",VLOOKUP($D42,CTPit!$E$10:$BG$72,Y$40,FALSE))</f>
        <v>-</v>
      </c>
      <c r="Z42" s="247" t="str">
        <f>IF($D42="","",VLOOKUP($D42,CTPit!$E$10:$BG$72,Z$40,FALSE))</f>
        <v>-</v>
      </c>
      <c r="AA42" s="53" t="str">
        <f>IF($D42="","",VLOOKUP($D42,CTPit!$E$10:$BG$72,AA$40,FALSE))</f>
        <v>95-97 Mph</v>
      </c>
      <c r="AB42" s="246">
        <f>IF($D42="","",VLOOKUP($D42,CTPit!$E$10:$BG$72,AB$40,FALSE))</f>
        <v>8</v>
      </c>
      <c r="AC42" s="80">
        <f>IF($D42="","",VLOOKUP($D42,CTPit!$E$10:$BG$72,AC$40,FALSE))</f>
        <v>0.65</v>
      </c>
    </row>
    <row r="43" spans="1:29">
      <c r="A43" s="246">
        <v>2</v>
      </c>
      <c r="B43" s="263" t="s">
        <v>236</v>
      </c>
      <c r="C43" s="36" t="s">
        <v>108</v>
      </c>
      <c r="D43" s="37" t="s">
        <v>334</v>
      </c>
      <c r="E43" s="37">
        <f>IF($D43="","",VLOOKUP($D43,CTPit!$E$10:$BG$214,E$1,FALSE))</f>
        <v>26</v>
      </c>
      <c r="F43" s="38" t="str">
        <f>IF($D43="","",VLOOKUP($D43,CTPit!$E$10:$BG$214,F$1+1,FALSE))</f>
        <v>R</v>
      </c>
      <c r="G43" s="246">
        <f t="shared" si="87"/>
        <v>0</v>
      </c>
      <c r="H43" s="246">
        <f t="shared" si="88"/>
        <v>1</v>
      </c>
      <c r="I43" s="246">
        <f t="shared" si="89"/>
        <v>1</v>
      </c>
      <c r="J43" s="99" t="str">
        <f>IF($D43="","",VLOOKUP($D43,CTPit!$E$10:$BG$72,J$40,FALSE))</f>
        <v>R</v>
      </c>
      <c r="K43" s="77">
        <f t="shared" si="90"/>
        <v>4</v>
      </c>
      <c r="L43" s="246">
        <f>IF($D43="","",VLOOKUP($D43,CTPit!$E$10:$BG$72,L$40,FALSE))</f>
        <v>8</v>
      </c>
      <c r="M43" s="246">
        <f>IF($D43="","",VLOOKUP($D43,CTPit!$E$10:$BG$72,M$40,FALSE))</f>
        <v>6</v>
      </c>
      <c r="N43" s="247">
        <f>IF($D43="","",VLOOKUP($D43,CTPit!$E$10:$BG$72,N$40,FALSE))</f>
        <v>7</v>
      </c>
      <c r="O43" s="246">
        <f>IF($D43="","",VLOOKUP($D43,CTPit!$E$10:$BG$72,O$40,FALSE))</f>
        <v>9</v>
      </c>
      <c r="P43" s="246">
        <f>IF($D43="","",VLOOKUP($D43,CTPit!$E$10:$BG$72,P$40,FALSE))</f>
        <v>8</v>
      </c>
      <c r="Q43" s="246" t="str">
        <f>IF($D43="","",VLOOKUP($D43,CTPit!$E$10:$BG$72,Q$40,FALSE))</f>
        <v>-</v>
      </c>
      <c r="R43" s="246">
        <f>IF($D43="","",VLOOKUP($D43,CTPit!$E$10:$BG$72,R$40,FALSE))</f>
        <v>8</v>
      </c>
      <c r="S43" s="246" t="str">
        <f>IF($D43="","",VLOOKUP($D43,CTPit!$E$10:$BG$72,S$40,FALSE))</f>
        <v>-</v>
      </c>
      <c r="T43" s="246">
        <f>IF($D43="","",VLOOKUP($D43,CTPit!$E$10:$BG$72,T$40,FALSE))</f>
        <v>5</v>
      </c>
      <c r="U43" s="246" t="str">
        <f>IF($D43="","",VLOOKUP($D43,CTPit!$E$10:$BG$72,U$40,FALSE))</f>
        <v>-</v>
      </c>
      <c r="V43" s="246" t="str">
        <f>IF($D43="","",VLOOKUP($D43,CTPit!$E$10:$BG$72,V$40,FALSE))</f>
        <v>-</v>
      </c>
      <c r="W43" s="246" t="str">
        <f>IF($D43="","",VLOOKUP($D43,CTPit!$E$10:$BG$72,W$40,FALSE))</f>
        <v>-</v>
      </c>
      <c r="X43" s="246" t="str">
        <f>IF($D43="","",VLOOKUP($D43,CTPit!$E$10:$BG$72,X$40,FALSE))</f>
        <v>-</v>
      </c>
      <c r="Y43" s="246" t="str">
        <f>IF($D43="","",VLOOKUP($D43,CTPit!$E$10:$BG$72,Y$40,FALSE))</f>
        <v>-</v>
      </c>
      <c r="Z43" s="247" t="str">
        <f>IF($D43="","",VLOOKUP($D43,CTPit!$E$10:$BG$72,Z$40,FALSE))</f>
        <v>-</v>
      </c>
      <c r="AA43" s="53" t="str">
        <f>IF($D43="","",VLOOKUP($D43,CTPit!$E$10:$BG$72,AA$40,FALSE))</f>
        <v>96-98 Mph</v>
      </c>
      <c r="AB43" s="246">
        <f>IF($D43="","",VLOOKUP($D43,CTPit!$E$10:$BG$72,AB$40,FALSE))</f>
        <v>9</v>
      </c>
      <c r="AC43" s="80">
        <f>IF($D43="","",VLOOKUP($D43,CTPit!$E$10:$BG$72,AC$40,FALSE))</f>
        <v>0.39</v>
      </c>
    </row>
    <row r="44" spans="1:29">
      <c r="A44" s="246">
        <v>3</v>
      </c>
      <c r="B44" s="260"/>
      <c r="C44" s="36" t="s">
        <v>108</v>
      </c>
      <c r="D44" s="65"/>
      <c r="E44" s="37" t="str">
        <f>IF($D44="","",VLOOKUP($D44,CTPit!$E$10:$BG$214,E$1,FALSE))</f>
        <v/>
      </c>
      <c r="F44" s="38" t="str">
        <f>IF($D44="","",VLOOKUP($D44,CTPit!$E$10:$BG$214,F$1+1,FALSE))</f>
        <v/>
      </c>
      <c r="G44" s="246" t="str">
        <f t="shared" si="87"/>
        <v/>
      </c>
      <c r="H44" s="246" t="str">
        <f t="shared" si="88"/>
        <v/>
      </c>
      <c r="I44" s="246" t="str">
        <f t="shared" si="89"/>
        <v/>
      </c>
      <c r="J44" s="99" t="str">
        <f>IF($D44="","",VLOOKUP($D44,CTPit!$E$10:$BG$72,J$40,FALSE))</f>
        <v/>
      </c>
      <c r="K44" s="77" t="str">
        <f t="shared" si="90"/>
        <v/>
      </c>
      <c r="L44" s="246" t="str">
        <f>IF($D44="","",VLOOKUP($D44,CTPit!$E$10:$BG$72,L$40,FALSE))</f>
        <v/>
      </c>
      <c r="M44" s="246" t="str">
        <f>IF($D44="","",VLOOKUP($D44,CTPit!$E$10:$BG$72,M$40,FALSE))</f>
        <v/>
      </c>
      <c r="N44" s="247" t="str">
        <f>IF($D44="","",VLOOKUP($D44,CTPit!$E$10:$BG$72,N$40,FALSE))</f>
        <v/>
      </c>
      <c r="O44" s="246" t="str">
        <f>IF($D44="","",VLOOKUP($D44,CTPit!$E$10:$BG$72,O$40,FALSE))</f>
        <v/>
      </c>
      <c r="P44" s="246" t="str">
        <f>IF($D44="","",VLOOKUP($D44,CTPit!$E$10:$BG$72,P$40,FALSE))</f>
        <v/>
      </c>
      <c r="Q44" s="246" t="str">
        <f>IF($D44="","",VLOOKUP($D44,CTPit!$E$10:$BG$72,Q$40,FALSE))</f>
        <v/>
      </c>
      <c r="R44" s="246" t="str">
        <f>IF($D44="","",VLOOKUP($D44,CTPit!$E$10:$BG$72,R$40,FALSE))</f>
        <v/>
      </c>
      <c r="S44" s="246" t="str">
        <f>IF($D44="","",VLOOKUP($D44,CTPit!$E$10:$BG$72,S$40,FALSE))</f>
        <v/>
      </c>
      <c r="T44" s="246" t="str">
        <f>IF($D44="","",VLOOKUP($D44,CTPit!$E$10:$BG$72,T$40,FALSE))</f>
        <v/>
      </c>
      <c r="U44" s="246" t="str">
        <f>IF($D44="","",VLOOKUP($D44,CTPit!$E$10:$BG$72,U$40,FALSE))</f>
        <v/>
      </c>
      <c r="V44" s="246" t="str">
        <f>IF($D44="","",VLOOKUP($D44,CTPit!$E$10:$BG$72,V$40,FALSE))</f>
        <v/>
      </c>
      <c r="W44" s="246" t="str">
        <f>IF($D44="","",VLOOKUP($D44,CTPit!$E$10:$BG$72,W$40,FALSE))</f>
        <v/>
      </c>
      <c r="X44" s="246" t="str">
        <f>IF($D44="","",VLOOKUP($D44,CTPit!$E$10:$BG$72,X$40,FALSE))</f>
        <v/>
      </c>
      <c r="Y44" s="246" t="str">
        <f>IF($D44="","",VLOOKUP($D44,CTPit!$E$10:$BG$72,Y$40,FALSE))</f>
        <v/>
      </c>
      <c r="Z44" s="247" t="str">
        <f>IF($D44="","",VLOOKUP($D44,CTPit!$E$10:$BG$72,Z$40,FALSE))</f>
        <v/>
      </c>
      <c r="AA44" s="53" t="str">
        <f>IF($D44="","",VLOOKUP($D44,CTPit!$E$10:$BG$72,AA$40,FALSE))</f>
        <v/>
      </c>
      <c r="AB44" s="246" t="str">
        <f>IF($D44="","",VLOOKUP($D44,CTPit!$E$10:$BG$72,AB$40,FALSE))</f>
        <v/>
      </c>
      <c r="AC44" s="80" t="str">
        <f>IF($D44="","",VLOOKUP($D44,CTPit!$E$10:$BG$72,AC$40,FALSE))</f>
        <v/>
      </c>
    </row>
    <row r="45" spans="1:29">
      <c r="A45" s="246">
        <v>4</v>
      </c>
      <c r="B45" s="260">
        <v>2019</v>
      </c>
      <c r="C45" s="36" t="s">
        <v>108</v>
      </c>
      <c r="D45" s="65" t="s">
        <v>414</v>
      </c>
      <c r="E45" s="37">
        <f>IF($D45="","",VLOOKUP($D45,CTPit!$E$10:$BG$214,E$1,FALSE))</f>
        <v>23</v>
      </c>
      <c r="F45" s="38" t="str">
        <f>IF($D45="","",VLOOKUP($D45,CTPit!$E$10:$BG$214,F$1+1,FALSE))</f>
        <v>L</v>
      </c>
      <c r="G45" s="246">
        <f t="shared" si="87"/>
        <v>0</v>
      </c>
      <c r="H45" s="246">
        <f t="shared" si="88"/>
        <v>0</v>
      </c>
      <c r="I45" s="246">
        <f t="shared" si="89"/>
        <v>0</v>
      </c>
      <c r="J45" s="99" t="str">
        <f>IF($D45="","",VLOOKUP($D45,CTPit!$E$10:$BG$72,J$40,FALSE))</f>
        <v>L</v>
      </c>
      <c r="K45" s="77">
        <f t="shared" si="90"/>
        <v>3</v>
      </c>
      <c r="L45" s="246">
        <f>IF($D45="","",VLOOKUP($D45,CTPit!$E$10:$BG$72,L$40,FALSE))</f>
        <v>9</v>
      </c>
      <c r="M45" s="246">
        <f>IF($D45="","",VLOOKUP($D45,CTPit!$E$10:$BG$72,M$40,FALSE))</f>
        <v>6</v>
      </c>
      <c r="N45" s="247">
        <f>IF($D45="","",VLOOKUP($D45,CTPit!$E$10:$BG$72,N$40,FALSE))</f>
        <v>2</v>
      </c>
      <c r="O45" s="246">
        <f>IF($D45="","",VLOOKUP($D45,CTPit!$E$10:$BG$72,O$40,FALSE))</f>
        <v>9</v>
      </c>
      <c r="P45" s="246">
        <f>IF($D45="","",VLOOKUP($D45,CTPit!$E$10:$BG$72,P$40,FALSE))</f>
        <v>4</v>
      </c>
      <c r="Q45" s="246" t="str">
        <f>IF($D45="","",VLOOKUP($D45,CTPit!$E$10:$BG$72,Q$40,FALSE))</f>
        <v>-</v>
      </c>
      <c r="R45" s="246">
        <f>IF($D45="","",VLOOKUP($D45,CTPit!$E$10:$BG$72,R$40,FALSE))</f>
        <v>6</v>
      </c>
      <c r="S45" s="246" t="str">
        <f>IF($D45="","",VLOOKUP($D45,CTPit!$E$10:$BG$72,S$40,FALSE))</f>
        <v>-</v>
      </c>
      <c r="T45" s="246" t="str">
        <f>IF($D45="","",VLOOKUP($D45,CTPit!$E$10:$BG$72,T$40,FALSE))</f>
        <v>-</v>
      </c>
      <c r="U45" s="246" t="str">
        <f>IF($D45="","",VLOOKUP($D45,CTPit!$E$10:$BG$72,U$40,FALSE))</f>
        <v>-</v>
      </c>
      <c r="V45" s="246" t="str">
        <f>IF($D45="","",VLOOKUP($D45,CTPit!$E$10:$BG$72,V$40,FALSE))</f>
        <v>-</v>
      </c>
      <c r="W45" s="246" t="str">
        <f>IF($D45="","",VLOOKUP($D45,CTPit!$E$10:$BG$72,W$40,FALSE))</f>
        <v>-</v>
      </c>
      <c r="X45" s="246" t="str">
        <f>IF($D45="","",VLOOKUP($D45,CTPit!$E$10:$BG$72,X$40,FALSE))</f>
        <v>-</v>
      </c>
      <c r="Y45" s="246" t="str">
        <f>IF($D45="","",VLOOKUP($D45,CTPit!$E$10:$BG$72,Y$40,FALSE))</f>
        <v>-</v>
      </c>
      <c r="Z45" s="247" t="str">
        <f>IF($D45="","",VLOOKUP($D45,CTPit!$E$10:$BG$72,Z$40,FALSE))</f>
        <v>-</v>
      </c>
      <c r="AA45" s="53" t="str">
        <f>IF($D45="","",VLOOKUP($D45,CTPit!$E$10:$BG$72,AA$40,FALSE))</f>
        <v>99-101 Mph</v>
      </c>
      <c r="AB45" s="246">
        <f>IF($D45="","",VLOOKUP($D45,CTPit!$E$10:$BG$72,AB$40,FALSE))</f>
        <v>9</v>
      </c>
      <c r="AC45" s="80">
        <f>IF($D45="","",VLOOKUP($D45,CTPit!$E$10:$BG$72,AC$40,FALSE))</f>
        <v>0.6</v>
      </c>
    </row>
    <row r="46" spans="1:29">
      <c r="A46" s="246">
        <v>5</v>
      </c>
      <c r="B46" s="263" t="s">
        <v>236</v>
      </c>
      <c r="C46" s="36" t="s">
        <v>108</v>
      </c>
      <c r="D46" s="65" t="s">
        <v>409</v>
      </c>
      <c r="E46" s="37">
        <f>IF($D46="","",VLOOKUP($D46,CTPit!$E$10:$BG$214,E$1,FALSE))</f>
        <v>28</v>
      </c>
      <c r="F46" s="38" t="str">
        <f>IF($D46="","",VLOOKUP($D46,CTPit!$E$10:$BG$214,F$1+1,FALSE))</f>
        <v>L</v>
      </c>
      <c r="G46" s="246">
        <f t="shared" si="87"/>
        <v>0</v>
      </c>
      <c r="H46" s="246">
        <f t="shared" si="88"/>
        <v>0</v>
      </c>
      <c r="I46" s="246">
        <f t="shared" si="89"/>
        <v>0</v>
      </c>
      <c r="J46" s="99" t="str">
        <f>IF($D46="","",VLOOKUP($D46,CTPit!$E$10:$BG$72,J$40,FALSE))</f>
        <v>L</v>
      </c>
      <c r="K46" s="77">
        <f t="shared" si="90"/>
        <v>3</v>
      </c>
      <c r="L46" s="246">
        <f>IF($D46="","",VLOOKUP($D46,CTPit!$E$10:$BG$72,L$40,FALSE))</f>
        <v>8</v>
      </c>
      <c r="M46" s="246">
        <f>IF($D46="","",VLOOKUP($D46,CTPit!$E$10:$BG$72,M$40,FALSE))</f>
        <v>5</v>
      </c>
      <c r="N46" s="247">
        <f>IF($D46="","",VLOOKUP($D46,CTPit!$E$10:$BG$72,N$40,FALSE))</f>
        <v>5</v>
      </c>
      <c r="O46" s="246">
        <f>IF($D46="","",VLOOKUP($D46,CTPit!$E$10:$BG$72,O$40,FALSE))</f>
        <v>8</v>
      </c>
      <c r="P46" s="246">
        <f>IF($D46="","",VLOOKUP($D46,CTPit!$E$10:$BG$72,P$40,FALSE))</f>
        <v>10</v>
      </c>
      <c r="Q46" s="246" t="str">
        <f>IF($D46="","",VLOOKUP($D46,CTPit!$E$10:$BG$72,Q$40,FALSE))</f>
        <v>-</v>
      </c>
      <c r="R46" s="246">
        <f>IF($D46="","",VLOOKUP($D46,CTPit!$E$10:$BG$72,R$40,FALSE))</f>
        <v>8</v>
      </c>
      <c r="S46" s="246" t="str">
        <f>IF($D46="","",VLOOKUP($D46,CTPit!$E$10:$BG$72,S$40,FALSE))</f>
        <v>-</v>
      </c>
      <c r="T46" s="246" t="str">
        <f>IF($D46="","",VLOOKUP($D46,CTPit!$E$10:$BG$72,T$40,FALSE))</f>
        <v>-</v>
      </c>
      <c r="U46" s="246" t="str">
        <f>IF($D46="","",VLOOKUP($D46,CTPit!$E$10:$BG$72,U$40,FALSE))</f>
        <v>-</v>
      </c>
      <c r="V46" s="246" t="str">
        <f>IF($D46="","",VLOOKUP($D46,CTPit!$E$10:$BG$72,V$40,FALSE))</f>
        <v>-</v>
      </c>
      <c r="W46" s="246" t="str">
        <f>IF($D46="","",VLOOKUP($D46,CTPit!$E$10:$BG$72,W$40,FALSE))</f>
        <v>-</v>
      </c>
      <c r="X46" s="246" t="str">
        <f>IF($D46="","",VLOOKUP($D46,CTPit!$E$10:$BG$72,X$40,FALSE))</f>
        <v>-</v>
      </c>
      <c r="Y46" s="246" t="str">
        <f>IF($D46="","",VLOOKUP($D46,CTPit!$E$10:$BG$72,Y$40,FALSE))</f>
        <v>-</v>
      </c>
      <c r="Z46" s="247" t="str">
        <f>IF($D46="","",VLOOKUP($D46,CTPit!$E$10:$BG$72,Z$40,FALSE))</f>
        <v>-</v>
      </c>
      <c r="AA46" s="53" t="str">
        <f>IF($D46="","",VLOOKUP($D46,CTPit!$E$10:$BG$72,AA$40,FALSE))</f>
        <v>93-95 Mph</v>
      </c>
      <c r="AB46" s="246">
        <f>IF($D46="","",VLOOKUP($D46,CTPit!$E$10:$BG$72,AB$40,FALSE))</f>
        <v>9</v>
      </c>
      <c r="AC46" s="80">
        <f>IF($D46="","",VLOOKUP($D46,CTPit!$E$10:$BG$72,AC$40,FALSE))</f>
        <v>0.38</v>
      </c>
    </row>
    <row r="47" spans="1:29">
      <c r="A47" s="246">
        <v>6</v>
      </c>
      <c r="B47" s="261"/>
      <c r="C47" s="39" t="s">
        <v>127</v>
      </c>
      <c r="D47" s="251" t="s">
        <v>430</v>
      </c>
      <c r="E47" s="40">
        <f>IF($D47="","",VLOOKUP($D47,CTPit!$E$10:$BG$214,E$1,FALSE))</f>
        <v>24</v>
      </c>
      <c r="F47" s="42" t="str">
        <f>IF($D47="","",VLOOKUP($D47,CTPit!$E$10:$BG$214,F$1+1,FALSE))</f>
        <v>L</v>
      </c>
      <c r="G47" s="244">
        <f t="shared" si="87"/>
        <v>0</v>
      </c>
      <c r="H47" s="244">
        <f t="shared" si="88"/>
        <v>0</v>
      </c>
      <c r="I47" s="244">
        <f t="shared" si="89"/>
        <v>0</v>
      </c>
      <c r="J47" s="100" t="str">
        <f>IF($D47="","",VLOOKUP($D47,CTPit!$E$10:$BG$72,J$40,FALSE))</f>
        <v>L</v>
      </c>
      <c r="K47" s="78">
        <f t="shared" si="90"/>
        <v>3</v>
      </c>
      <c r="L47" s="244">
        <f>IF($D47="","",VLOOKUP($D47,CTPit!$E$10:$BG$72,L$40,FALSE))</f>
        <v>8</v>
      </c>
      <c r="M47" s="244">
        <f>IF($D47="","",VLOOKUP($D47,CTPit!$E$10:$BG$72,M$40,FALSE))</f>
        <v>5</v>
      </c>
      <c r="N47" s="245">
        <f>IF($D47="","",VLOOKUP($D47,CTPit!$E$10:$BG$72,N$40,FALSE))</f>
        <v>5</v>
      </c>
      <c r="O47" s="244">
        <f>IF($D47="","",VLOOKUP($D47,CTPit!$E$10:$BG$72,O$40,FALSE))</f>
        <v>7</v>
      </c>
      <c r="P47" s="244">
        <f>IF($D47="","",VLOOKUP($D47,CTPit!$E$10:$BG$72,P$40,FALSE))</f>
        <v>9</v>
      </c>
      <c r="Q47" s="244" t="str">
        <f>IF($D47="","",VLOOKUP($D47,CTPit!$E$10:$BG$72,Q$40,FALSE))</f>
        <v>-</v>
      </c>
      <c r="R47" s="244">
        <f>IF($D47="","",VLOOKUP($D47,CTPit!$E$10:$BG$72,R$40,FALSE))</f>
        <v>8</v>
      </c>
      <c r="S47" s="244" t="str">
        <f>IF($D47="","",VLOOKUP($D47,CTPit!$E$10:$BG$72,S$40,FALSE))</f>
        <v>-</v>
      </c>
      <c r="T47" s="244" t="str">
        <f>IF($D47="","",VLOOKUP($D47,CTPit!$E$10:$BG$72,T$40,FALSE))</f>
        <v>-</v>
      </c>
      <c r="U47" s="244" t="str">
        <f>IF($D47="","",VLOOKUP($D47,CTPit!$E$10:$BG$72,U$40,FALSE))</f>
        <v>-</v>
      </c>
      <c r="V47" s="244" t="str">
        <f>IF($D47="","",VLOOKUP($D47,CTPit!$E$10:$BG$72,V$40,FALSE))</f>
        <v>-</v>
      </c>
      <c r="W47" s="244" t="str">
        <f>IF($D47="","",VLOOKUP($D47,CTPit!$E$10:$BG$72,W$40,FALSE))</f>
        <v>-</v>
      </c>
      <c r="X47" s="244" t="str">
        <f>IF($D47="","",VLOOKUP($D47,CTPit!$E$10:$BG$72,X$40,FALSE))</f>
        <v>-</v>
      </c>
      <c r="Y47" s="244" t="str">
        <f>IF($D47="","",VLOOKUP($D47,CTPit!$E$10:$BG$72,Y$40,FALSE))</f>
        <v>-</v>
      </c>
      <c r="Z47" s="245" t="str">
        <f>IF($D47="","",VLOOKUP($D47,CTPit!$E$10:$BG$72,Z$40,FALSE))</f>
        <v>-</v>
      </c>
      <c r="AA47" s="54" t="str">
        <f>IF($D47="","",VLOOKUP($D47,CTPit!$E$10:$BG$72,AA$40,FALSE))</f>
        <v>92-94 Mph</v>
      </c>
      <c r="AB47" s="244">
        <f>IF($D47="","",VLOOKUP($D47,CTPit!$E$10:$BG$72,AB$40,FALSE))</f>
        <v>8</v>
      </c>
      <c r="AC47" s="81">
        <f>IF($D47="","",VLOOKUP($D47,CTPit!$E$10:$BG$72,AC$40,FALSE))</f>
        <v>0.42</v>
      </c>
    </row>
    <row r="48" spans="1:29">
      <c r="AA48" s="246"/>
      <c r="AB48" s="246"/>
      <c r="AC48" s="246"/>
    </row>
    <row r="49" spans="1:34" ht="57">
      <c r="A49" s="25" t="s">
        <v>193</v>
      </c>
      <c r="B49" s="256" t="s">
        <v>485</v>
      </c>
      <c r="C49" s="241" t="s">
        <v>128</v>
      </c>
      <c r="D49" s="44" t="s">
        <v>118</v>
      </c>
      <c r="E49" s="44" t="s">
        <v>91</v>
      </c>
      <c r="F49" s="44" t="s">
        <v>102</v>
      </c>
      <c r="G49" s="55" t="s">
        <v>190</v>
      </c>
      <c r="H49" s="47" t="s">
        <v>191</v>
      </c>
      <c r="I49" s="56" t="s">
        <v>192</v>
      </c>
      <c r="J49" s="76" t="s">
        <v>212</v>
      </c>
      <c r="K49" s="47" t="s">
        <v>189</v>
      </c>
      <c r="L49" s="79" t="s">
        <v>186</v>
      </c>
      <c r="M49" s="74" t="s">
        <v>187</v>
      </c>
      <c r="N49" s="75" t="s">
        <v>188</v>
      </c>
      <c r="O49" s="74" t="s">
        <v>60</v>
      </c>
      <c r="P49" s="74" t="s">
        <v>62</v>
      </c>
      <c r="Q49" s="74" t="s">
        <v>64</v>
      </c>
      <c r="R49" s="74" t="s">
        <v>66</v>
      </c>
      <c r="S49" s="74" t="s">
        <v>68</v>
      </c>
      <c r="T49" s="74" t="s">
        <v>108</v>
      </c>
      <c r="U49" s="74" t="s">
        <v>71</v>
      </c>
      <c r="V49" s="74" t="s">
        <v>73</v>
      </c>
      <c r="W49" s="74" t="s">
        <v>75</v>
      </c>
      <c r="X49" s="74" t="s">
        <v>77</v>
      </c>
      <c r="Y49" s="74" t="s">
        <v>79</v>
      </c>
      <c r="Z49" s="75" t="s">
        <v>81</v>
      </c>
      <c r="AA49" s="79" t="s">
        <v>199</v>
      </c>
      <c r="AB49" s="74" t="s">
        <v>198</v>
      </c>
      <c r="AC49" s="75" t="s">
        <v>200</v>
      </c>
    </row>
    <row r="50" spans="1:34">
      <c r="A50">
        <v>1</v>
      </c>
      <c r="B50" s="260" t="s">
        <v>236</v>
      </c>
      <c r="C50" s="36" t="s">
        <v>109</v>
      </c>
      <c r="D50" s="37" t="s">
        <v>16</v>
      </c>
      <c r="E50" s="37">
        <f>IF($D50="","",VLOOKUP($D50,CTPit!$E$10:$BG$214,E$1,FALSE))</f>
        <v>27</v>
      </c>
      <c r="F50" s="37" t="str">
        <f>IF($D50="","",VLOOKUP($D50,CTPit!$E$10:$BG$214,F$1+1,FALSE))</f>
        <v>R</v>
      </c>
      <c r="G50" s="53">
        <f>IF($D50="","",IF(AVERAGE(L50:N50)&gt;7,1,0))</f>
        <v>0</v>
      </c>
      <c r="H50" s="246">
        <f>IF($D50="","",IF(AVERAGE(L50:N50)&gt;6.5,1,0))</f>
        <v>1</v>
      </c>
      <c r="I50" s="247">
        <f>IF($D50="","",IF(AVERAGE(L50:N50)&gt;6,1,0))</f>
        <v>1</v>
      </c>
      <c r="J50" s="98" t="str">
        <f>IF($D50="","",VLOOKUP($D50,CTPit!$E$10:$BG$72,J$40,FALSE))</f>
        <v>R</v>
      </c>
      <c r="K50" s="246">
        <f>IF($D50="","",COUNT(O50:Z50))</f>
        <v>2</v>
      </c>
      <c r="L50" s="53">
        <f>IF($D50="","",VLOOKUP($D50,CTPit!$E$10:$BG$72,L$40,FALSE))</f>
        <v>8</v>
      </c>
      <c r="M50" s="246">
        <f>IF($D50="","",VLOOKUP($D50,CTPit!$E$10:$BG$72,M$40,FALSE))</f>
        <v>6</v>
      </c>
      <c r="N50" s="247">
        <f>IF($D50="","",VLOOKUP($D50,CTPit!$E$10:$BG$72,N$40,FALSE))</f>
        <v>6</v>
      </c>
      <c r="O50" s="246">
        <f>IF($D50="","",VLOOKUP($D50,CTPit!$E$10:$BG$72,O$40,FALSE))</f>
        <v>8</v>
      </c>
      <c r="P50" s="246" t="str">
        <f>IF($D50="","",VLOOKUP($D50,CTPit!$E$10:$BG$72,P$40,FALSE))</f>
        <v>-</v>
      </c>
      <c r="Q50" s="246" t="str">
        <f>IF($D50="","",VLOOKUP($D50,CTPit!$E$10:$BG$72,Q$40,FALSE))</f>
        <v>-</v>
      </c>
      <c r="R50" s="246">
        <f>IF($D50="","",VLOOKUP($D50,CTPit!$E$10:$BG$72,R$40,FALSE))</f>
        <v>8</v>
      </c>
      <c r="S50" s="246" t="str">
        <f>IF($D50="","",VLOOKUP($D50,CTPit!$E$10:$BG$72,S$40,FALSE))</f>
        <v>-</v>
      </c>
      <c r="T50" s="246" t="str">
        <f>IF($D50="","",VLOOKUP($D50,CTPit!$E$10:$BG$72,T$40,FALSE))</f>
        <v>-</v>
      </c>
      <c r="U50" s="246" t="str">
        <f>IF($D50="","",VLOOKUP($D50,CTPit!$E$10:$BG$72,U$40,FALSE))</f>
        <v>-</v>
      </c>
      <c r="V50" s="246" t="str">
        <f>IF($D50="","",VLOOKUP($D50,CTPit!$E$10:$BG$72,V$40,FALSE))</f>
        <v>-</v>
      </c>
      <c r="W50" s="246" t="str">
        <f>IF($D50="","",VLOOKUP($D50,CTPit!$E$10:$BG$72,W$40,FALSE))</f>
        <v>-</v>
      </c>
      <c r="X50" s="246" t="str">
        <f>IF($D50="","",VLOOKUP($D50,CTPit!$E$10:$BG$72,X$40,FALSE))</f>
        <v>-</v>
      </c>
      <c r="Y50" s="246" t="str">
        <f>IF($D50="","",VLOOKUP($D50,CTPit!$E$10:$BG$72,Y$40,FALSE))</f>
        <v>-</v>
      </c>
      <c r="Z50" s="247" t="str">
        <f>IF($D50="","",VLOOKUP($D50,CTPit!$E$10:$BG$72,Z$40,FALSE))</f>
        <v>-</v>
      </c>
      <c r="AA50" s="53" t="str">
        <f>IF($D50="","",VLOOKUP($D50,CTPit!$E$10:$BG$72,AA$40,FALSE))</f>
        <v>95-97 Mph</v>
      </c>
      <c r="AB50" s="246">
        <f>IF($D50="","",VLOOKUP($D50,CTPit!$E$10:$BG$72,AB$40,FALSE))</f>
        <v>3</v>
      </c>
      <c r="AC50" s="80">
        <f>IF($D50="","",VLOOKUP($D50,CTPit!$E$10:$BG$72,AC$40,FALSE))</f>
        <v>0.37</v>
      </c>
      <c r="AH50" t="s">
        <v>16</v>
      </c>
    </row>
    <row r="51" spans="1:34">
      <c r="A51">
        <v>2</v>
      </c>
      <c r="B51" s="261"/>
      <c r="C51" s="39" t="s">
        <v>129</v>
      </c>
      <c r="D51" s="40"/>
      <c r="E51" s="40" t="str">
        <f>IF($D51="","",VLOOKUP($D51,CTPit!$E$10:$BG$214,E$1,FALSE))</f>
        <v/>
      </c>
      <c r="F51" s="40" t="str">
        <f>IF($D51="","",VLOOKUP($D51,CTPit!$E$10:$BG$214,F$1+1,FALSE))</f>
        <v/>
      </c>
      <c r="G51" s="54" t="str">
        <f>IF($D51="","",IF(AVERAGE(L51:N51)&gt;7,1,0))</f>
        <v/>
      </c>
      <c r="H51" s="244" t="str">
        <f>IF($D51="","",IF(AVERAGE(L51:N51)&gt;6.5,1,0))</f>
        <v/>
      </c>
      <c r="I51" s="245" t="str">
        <f>IF($D51="","",IF(AVERAGE(L51:N51)&gt;6,1,0))</f>
        <v/>
      </c>
      <c r="J51" s="100" t="str">
        <f>IF($D51="","",VLOOKUP($D51,CTPit!$E$10:$BG$72,J$40,FALSE))</f>
        <v/>
      </c>
      <c r="K51" s="244" t="str">
        <f>IF($D51="","",COUNT(O51:Z51))</f>
        <v/>
      </c>
      <c r="L51" s="54" t="str">
        <f>IF($D51="","",VLOOKUP($D51,CTPit!$E$10:$BG$72,L$40,FALSE))</f>
        <v/>
      </c>
      <c r="M51" s="244" t="str">
        <f>IF($D51="","",VLOOKUP($D51,CTPit!$E$10:$BG$72,M$40,FALSE))</f>
        <v/>
      </c>
      <c r="N51" s="245" t="str">
        <f>IF($D51="","",VLOOKUP($D51,CTPit!$E$10:$BG$72,N$40,FALSE))</f>
        <v/>
      </c>
      <c r="O51" s="244" t="str">
        <f>IF($D51="","",VLOOKUP($D51,CTPit!$E$10:$BG$72,O$40,FALSE))</f>
        <v/>
      </c>
      <c r="P51" s="244" t="str">
        <f>IF($D51="","",VLOOKUP($D51,CTPit!$E$10:$BG$72,P$40,FALSE))</f>
        <v/>
      </c>
      <c r="Q51" s="244" t="str">
        <f>IF($D51="","",VLOOKUP($D51,CTPit!$E$10:$BG$72,Q$40,FALSE))</f>
        <v/>
      </c>
      <c r="R51" s="244" t="str">
        <f>IF($D51="","",VLOOKUP($D51,CTPit!$E$10:$BG$72,R$40,FALSE))</f>
        <v/>
      </c>
      <c r="S51" s="244" t="str">
        <f>IF($D51="","",VLOOKUP($D51,CTPit!$E$10:$BG$72,S$40,FALSE))</f>
        <v/>
      </c>
      <c r="T51" s="244" t="str">
        <f>IF($D51="","",VLOOKUP($D51,CTPit!$E$10:$BG$72,T$40,FALSE))</f>
        <v/>
      </c>
      <c r="U51" s="244" t="str">
        <f>IF($D51="","",VLOOKUP($D51,CTPit!$E$10:$BG$72,U$40,FALSE))</f>
        <v/>
      </c>
      <c r="V51" s="244" t="str">
        <f>IF($D51="","",VLOOKUP($D51,CTPit!$E$10:$BG$72,V$40,FALSE))</f>
        <v/>
      </c>
      <c r="W51" s="244" t="str">
        <f>IF($D51="","",VLOOKUP($D51,CTPit!$E$10:$BG$72,W$40,FALSE))</f>
        <v/>
      </c>
      <c r="X51" s="244" t="str">
        <f>IF($D51="","",VLOOKUP($D51,CTPit!$E$10:$BG$72,X$40,FALSE))</f>
        <v/>
      </c>
      <c r="Y51" s="244" t="str">
        <f>IF($D51="","",VLOOKUP($D51,CTPit!$E$10:$BG$72,Y$40,FALSE))</f>
        <v/>
      </c>
      <c r="Z51" s="245" t="str">
        <f>IF($D51="","",VLOOKUP($D51,CTPit!$E$10:$BG$72,Z$40,FALSE))</f>
        <v/>
      </c>
      <c r="AA51" s="54" t="str">
        <f>IF($D51="","",VLOOKUP($D51,CTPit!$E$10:$BG$72,AA$40,FALSE))</f>
        <v/>
      </c>
      <c r="AB51" s="244" t="str">
        <f>IF($D51="","",VLOOKUP($D51,CTPit!$E$10:$BG$72,AB$40,FALSE))</f>
        <v/>
      </c>
      <c r="AC51" s="81" t="str">
        <f>IF($D51="","",VLOOKUP($D51,CTPit!$E$10:$BG$72,AC$40,FALSE))</f>
        <v/>
      </c>
    </row>
    <row r="52" spans="1:34">
      <c r="AA52" s="246"/>
      <c r="AB52" s="246"/>
      <c r="AC52" s="246"/>
    </row>
    <row r="53" spans="1:34" ht="57">
      <c r="A53" s="25" t="s">
        <v>193</v>
      </c>
      <c r="B53" s="256" t="s">
        <v>485</v>
      </c>
      <c r="C53" s="241" t="s">
        <v>130</v>
      </c>
      <c r="D53" s="44" t="s">
        <v>118</v>
      </c>
      <c r="E53" s="44" t="s">
        <v>91</v>
      </c>
      <c r="F53" s="44" t="s">
        <v>102</v>
      </c>
      <c r="G53" s="55" t="s">
        <v>190</v>
      </c>
      <c r="H53" s="47" t="s">
        <v>191</v>
      </c>
      <c r="I53" s="56" t="s">
        <v>192</v>
      </c>
      <c r="J53" s="76" t="s">
        <v>212</v>
      </c>
      <c r="K53" s="47" t="s">
        <v>189</v>
      </c>
      <c r="L53" s="79" t="s">
        <v>186</v>
      </c>
      <c r="M53" s="74" t="s">
        <v>187</v>
      </c>
      <c r="N53" s="75" t="s">
        <v>188</v>
      </c>
      <c r="O53" s="74" t="s">
        <v>60</v>
      </c>
      <c r="P53" s="74" t="s">
        <v>62</v>
      </c>
      <c r="Q53" s="74" t="s">
        <v>64</v>
      </c>
      <c r="R53" s="74" t="s">
        <v>66</v>
      </c>
      <c r="S53" s="74" t="s">
        <v>68</v>
      </c>
      <c r="T53" s="74" t="s">
        <v>108</v>
      </c>
      <c r="U53" s="74" t="s">
        <v>71</v>
      </c>
      <c r="V53" s="74" t="s">
        <v>73</v>
      </c>
      <c r="W53" s="74" t="s">
        <v>75</v>
      </c>
      <c r="X53" s="74" t="s">
        <v>77</v>
      </c>
      <c r="Y53" s="74" t="s">
        <v>79</v>
      </c>
      <c r="Z53" s="75" t="s">
        <v>81</v>
      </c>
      <c r="AA53" s="79" t="s">
        <v>199</v>
      </c>
      <c r="AB53" s="74" t="s">
        <v>198</v>
      </c>
      <c r="AC53" s="75" t="s">
        <v>200</v>
      </c>
    </row>
    <row r="54" spans="1:34">
      <c r="A54">
        <v>1</v>
      </c>
      <c r="B54" s="260">
        <v>2019</v>
      </c>
      <c r="C54" s="36" t="s">
        <v>131</v>
      </c>
      <c r="D54" s="37" t="s">
        <v>472</v>
      </c>
      <c r="E54" s="37">
        <f>IF($D54="","",VLOOKUP($D54,CTPit!$E$10:$BG$214,E$1,FALSE))</f>
        <v>23</v>
      </c>
      <c r="F54" s="37" t="str">
        <f>IF($D54="","",VLOOKUP($D54,CTPit!$E$10:$BG$214,F$1+1,FALSE))</f>
        <v>L</v>
      </c>
      <c r="G54" s="53">
        <f t="shared" ref="G54:G59" si="91">IF($D54="","",IF(AVERAGE(L54:N54)&gt;7,1,0))</f>
        <v>0</v>
      </c>
      <c r="H54" s="246">
        <f t="shared" ref="H54:H59" si="92">IF($D54="","",IF(AVERAGE(L54:N54)&gt;6.5,1,0))</f>
        <v>0</v>
      </c>
      <c r="I54" s="247">
        <f t="shared" ref="I54:I59" si="93">IF($D54="","",IF(AVERAGE(L54:N54)&gt;6,1,0))</f>
        <v>1</v>
      </c>
      <c r="J54" s="99" t="str">
        <f>IF($D54="","",VLOOKUP($D54,CTPit!$E$10:$BG$72,J$40,FALSE))</f>
        <v>L</v>
      </c>
      <c r="K54" s="246">
        <f t="shared" ref="K54:K59" si="94">IF($D54="","",COUNT(O54:Z54))</f>
        <v>2</v>
      </c>
      <c r="L54" s="53">
        <f>IF($D54="","",VLOOKUP($D54,CTPit!$E$10:$BG$72,L$40,FALSE))</f>
        <v>6</v>
      </c>
      <c r="M54" s="246">
        <f>IF($D54="","",VLOOKUP($D54,CTPit!$E$10:$BG$72,M$40,FALSE))</f>
        <v>6</v>
      </c>
      <c r="N54" s="247">
        <f>IF($D54="","",VLOOKUP($D54,CTPit!$E$10:$BG$72,N$40,FALSE))</f>
        <v>7</v>
      </c>
      <c r="O54" s="246">
        <f>IF($D54="","",VLOOKUP($D54,CTPit!$E$10:$BG$72,O$40,FALSE))</f>
        <v>7</v>
      </c>
      <c r="P54" s="246" t="str">
        <f>IF($D54="","",VLOOKUP($D54,CTPit!$E$10:$BG$72,P$40,FALSE))</f>
        <v>-</v>
      </c>
      <c r="Q54" s="246">
        <f>IF($D54="","",VLOOKUP($D54,CTPit!$E$10:$BG$72,Q$40,FALSE))</f>
        <v>6</v>
      </c>
      <c r="R54" s="246" t="str">
        <f>IF($D54="","",VLOOKUP($D54,CTPit!$E$10:$BG$72,R$40,FALSE))</f>
        <v>-</v>
      </c>
      <c r="S54" s="246" t="str">
        <f>IF($D54="","",VLOOKUP($D54,CTPit!$E$10:$BG$72,S$40,FALSE))</f>
        <v>-</v>
      </c>
      <c r="T54" s="246" t="str">
        <f>IF($D54="","",VLOOKUP($D54,CTPit!$E$10:$BG$72,T$40,FALSE))</f>
        <v>-</v>
      </c>
      <c r="U54" s="246" t="str">
        <f>IF($D54="","",VLOOKUP($D54,CTPit!$E$10:$BG$72,U$40,FALSE))</f>
        <v>-</v>
      </c>
      <c r="V54" s="246" t="str">
        <f>IF($D54="","",VLOOKUP($D54,CTPit!$E$10:$BG$72,V$40,FALSE))</f>
        <v>-</v>
      </c>
      <c r="W54" s="246" t="str">
        <f>IF($D54="","",VLOOKUP($D54,CTPit!$E$10:$BG$72,W$40,FALSE))</f>
        <v>-</v>
      </c>
      <c r="X54" s="246" t="str">
        <f>IF($D54="","",VLOOKUP($D54,CTPit!$E$10:$BG$72,X$40,FALSE))</f>
        <v>-</v>
      </c>
      <c r="Y54" s="246" t="str">
        <f>IF($D54="","",VLOOKUP($D54,CTPit!$E$10:$BG$72,Y$40,FALSE))</f>
        <v>-</v>
      </c>
      <c r="Z54" s="247" t="str">
        <f>IF($D54="","",VLOOKUP($D54,CTPit!$E$10:$BG$72,Z$40,FALSE))</f>
        <v>-</v>
      </c>
      <c r="AA54" s="53" t="str">
        <f>IF($D54="","",VLOOKUP($D54,CTPit!$E$10:$BG$72,AA$40,FALSE))</f>
        <v>94-96 Mph</v>
      </c>
      <c r="AB54" s="246">
        <f>IF($D54="","",VLOOKUP($D54,CTPit!$E$10:$BG$72,AB$40,FALSE))</f>
        <v>2</v>
      </c>
      <c r="AC54" s="80">
        <f>IF($D54="","",VLOOKUP($D54,CTPit!$E$10:$BG$72,AC$40,FALSE))</f>
        <v>0.56000000000000005</v>
      </c>
      <c r="AH54" t="s">
        <v>9</v>
      </c>
    </row>
    <row r="55" spans="1:34">
      <c r="A55">
        <v>2</v>
      </c>
      <c r="B55" s="263">
        <v>2019</v>
      </c>
      <c r="C55" s="36" t="s">
        <v>132</v>
      </c>
      <c r="D55" s="65" t="s">
        <v>473</v>
      </c>
      <c r="E55" s="37">
        <f>IF($D55="","",VLOOKUP($D55,CTPit!$E$10:$BG$214,E$1,FALSE))</f>
        <v>22</v>
      </c>
      <c r="F55" s="37" t="str">
        <f>IF($D55="","",VLOOKUP($D55,CTPit!$E$10:$BG$214,F$1+1,FALSE))</f>
        <v>R</v>
      </c>
      <c r="G55" s="53">
        <f t="shared" si="91"/>
        <v>0</v>
      </c>
      <c r="H55" s="246">
        <f t="shared" si="92"/>
        <v>0</v>
      </c>
      <c r="I55" s="247">
        <f t="shared" si="93"/>
        <v>0</v>
      </c>
      <c r="J55" s="99" t="str">
        <f>IF($D55="","",VLOOKUP($D55,CTPit!$E$10:$BG$72,J$40,FALSE))</f>
        <v>R</v>
      </c>
      <c r="K55" s="246">
        <f t="shared" si="94"/>
        <v>2</v>
      </c>
      <c r="L55" s="53">
        <f>IF($D55="","",VLOOKUP($D55,CTPit!$E$10:$BG$72,L$40,FALSE))</f>
        <v>10</v>
      </c>
      <c r="M55" s="246">
        <f>IF($D55="","",VLOOKUP($D55,CTPit!$E$10:$BG$72,M$40,FALSE))</f>
        <v>4</v>
      </c>
      <c r="N55" s="247">
        <f>IF($D55="","",VLOOKUP($D55,CTPit!$E$10:$BG$72,N$40,FALSE))</f>
        <v>4</v>
      </c>
      <c r="O55" s="246">
        <f>IF($D55="","",VLOOKUP($D55,CTPit!$E$10:$BG$72,O$40,FALSE))</f>
        <v>10</v>
      </c>
      <c r="P55" s="246" t="str">
        <f>IF($D55="","",VLOOKUP($D55,CTPit!$E$10:$BG$72,P$40,FALSE))</f>
        <v>-</v>
      </c>
      <c r="Q55" s="246">
        <f>IF($D55="","",VLOOKUP($D55,CTPit!$E$10:$BG$72,Q$40,FALSE))</f>
        <v>6</v>
      </c>
      <c r="R55" s="246" t="str">
        <f>IF($D55="","",VLOOKUP($D55,CTPit!$E$10:$BG$72,R$40,FALSE))</f>
        <v>-</v>
      </c>
      <c r="S55" s="246" t="str">
        <f>IF($D55="","",VLOOKUP($D55,CTPit!$E$10:$BG$72,S$40,FALSE))</f>
        <v>-</v>
      </c>
      <c r="T55" s="246" t="str">
        <f>IF($D55="","",VLOOKUP($D55,CTPit!$E$10:$BG$72,T$40,FALSE))</f>
        <v>-</v>
      </c>
      <c r="U55" s="246" t="str">
        <f>IF($D55="","",VLOOKUP($D55,CTPit!$E$10:$BG$72,U$40,FALSE))</f>
        <v>-</v>
      </c>
      <c r="V55" s="246" t="str">
        <f>IF($D55="","",VLOOKUP($D55,CTPit!$E$10:$BG$72,V$40,FALSE))</f>
        <v>-</v>
      </c>
      <c r="W55" s="246" t="str">
        <f>IF($D55="","",VLOOKUP($D55,CTPit!$E$10:$BG$72,W$40,FALSE))</f>
        <v>-</v>
      </c>
      <c r="X55" s="246" t="str">
        <f>IF($D55="","",VLOOKUP($D55,CTPit!$E$10:$BG$72,X$40,FALSE))</f>
        <v>-</v>
      </c>
      <c r="Y55" s="246" t="str">
        <f>IF($D55="","",VLOOKUP($D55,CTPit!$E$10:$BG$72,Y$40,FALSE))</f>
        <v>-</v>
      </c>
      <c r="Z55" s="247" t="str">
        <f>IF($D55="","",VLOOKUP($D55,CTPit!$E$10:$BG$72,Z$40,FALSE))</f>
        <v>-</v>
      </c>
      <c r="AA55" s="53" t="str">
        <f>IF($D55="","",VLOOKUP($D55,CTPit!$E$10:$BG$72,AA$40,FALSE))</f>
        <v>99-101 Mph</v>
      </c>
      <c r="AB55" s="246">
        <f>IF($D55="","",VLOOKUP($D55,CTPit!$E$10:$BG$72,AB$40,FALSE))</f>
        <v>1</v>
      </c>
      <c r="AC55" s="80">
        <f>IF($D55="","",VLOOKUP($D55,CTPit!$E$10:$BG$72,AC$40,FALSE))</f>
        <v>0.44</v>
      </c>
      <c r="AH55" t="s">
        <v>17</v>
      </c>
    </row>
    <row r="56" spans="1:34">
      <c r="A56">
        <v>3</v>
      </c>
      <c r="B56" s="263" t="s">
        <v>236</v>
      </c>
      <c r="C56" s="36" t="s">
        <v>19</v>
      </c>
      <c r="D56" s="65" t="s">
        <v>17</v>
      </c>
      <c r="E56" s="37">
        <f>IF($D56="","",VLOOKUP($D56,CTPit!$E$10:$BG$214,E$1,FALSE))</f>
        <v>25</v>
      </c>
      <c r="F56" s="37" t="str">
        <f>IF($D56="","",VLOOKUP($D56,CTPit!$E$10:$BG$214,F$1+1,FALSE))</f>
        <v>L</v>
      </c>
      <c r="G56" s="53">
        <f t="shared" si="91"/>
        <v>0</v>
      </c>
      <c r="H56" s="246">
        <f t="shared" si="92"/>
        <v>1</v>
      </c>
      <c r="I56" s="247">
        <f t="shared" si="93"/>
        <v>1</v>
      </c>
      <c r="J56" s="99" t="str">
        <f>IF($D56="","",VLOOKUP($D56,CTPit!$E$10:$BG$72,J$40,FALSE))</f>
        <v>L</v>
      </c>
      <c r="K56" s="246">
        <f t="shared" si="94"/>
        <v>3</v>
      </c>
      <c r="L56" s="53">
        <f>IF($D56="","",VLOOKUP($D56,CTPit!$E$10:$BG$72,L$40,FALSE))</f>
        <v>7</v>
      </c>
      <c r="M56" s="246">
        <f>IF($D56="","",VLOOKUP($D56,CTPit!$E$10:$BG$72,M$40,FALSE))</f>
        <v>7</v>
      </c>
      <c r="N56" s="247">
        <f>IF($D56="","",VLOOKUP($D56,CTPit!$E$10:$BG$72,N$40,FALSE))</f>
        <v>7</v>
      </c>
      <c r="O56" s="246">
        <f>IF($D56="","",VLOOKUP($D56,CTPit!$E$10:$BG$72,O$40,FALSE))</f>
        <v>7</v>
      </c>
      <c r="P56" s="246">
        <f>IF($D56="","",VLOOKUP($D56,CTPit!$E$10:$BG$72,P$40,FALSE))</f>
        <v>3</v>
      </c>
      <c r="Q56" s="246" t="str">
        <f>IF($D56="","",VLOOKUP($D56,CTPit!$E$10:$BG$72,Q$40,FALSE))</f>
        <v>-</v>
      </c>
      <c r="R56" s="246" t="str">
        <f>IF($D56="","",VLOOKUP($D56,CTPit!$E$10:$BG$72,R$40,FALSE))</f>
        <v>-</v>
      </c>
      <c r="S56" s="246" t="str">
        <f>IF($D56="","",VLOOKUP($D56,CTPit!$E$10:$BG$72,S$40,FALSE))</f>
        <v>-</v>
      </c>
      <c r="T56" s="246">
        <f>IF($D56="","",VLOOKUP($D56,CTPit!$E$10:$BG$72,T$40,FALSE))</f>
        <v>7</v>
      </c>
      <c r="U56" s="246" t="str">
        <f>IF($D56="","",VLOOKUP($D56,CTPit!$E$10:$BG$72,U$40,FALSE))</f>
        <v>-</v>
      </c>
      <c r="V56" s="246" t="str">
        <f>IF($D56="","",VLOOKUP($D56,CTPit!$E$10:$BG$72,V$40,FALSE))</f>
        <v>-</v>
      </c>
      <c r="W56" s="246" t="str">
        <f>IF($D56="","",VLOOKUP($D56,CTPit!$E$10:$BG$72,W$40,FALSE))</f>
        <v>-</v>
      </c>
      <c r="X56" s="246" t="str">
        <f>IF($D56="","",VLOOKUP($D56,CTPit!$E$10:$BG$72,X$40,FALSE))</f>
        <v>-</v>
      </c>
      <c r="Y56" s="246" t="str">
        <f>IF($D56="","",VLOOKUP($D56,CTPit!$E$10:$BG$72,Y$40,FALSE))</f>
        <v>-</v>
      </c>
      <c r="Z56" s="247" t="str">
        <f>IF($D56="","",VLOOKUP($D56,CTPit!$E$10:$BG$72,Z$40,FALSE))</f>
        <v>-</v>
      </c>
      <c r="AA56" s="53" t="str">
        <f>IF($D56="","",VLOOKUP($D56,CTPit!$E$10:$BG$72,AA$40,FALSE))</f>
        <v>93-95 Mph</v>
      </c>
      <c r="AB56" s="246">
        <f>IF($D56="","",VLOOKUP($D56,CTPit!$E$10:$BG$72,AB$40,FALSE))</f>
        <v>1</v>
      </c>
      <c r="AC56" s="80">
        <f>IF($D56="","",VLOOKUP($D56,CTPit!$E$10:$BG$72,AC$40,FALSE))</f>
        <v>0.49</v>
      </c>
      <c r="AH56" t="s">
        <v>49</v>
      </c>
    </row>
    <row r="57" spans="1:34">
      <c r="A57">
        <v>4</v>
      </c>
      <c r="B57" s="260">
        <v>2019</v>
      </c>
      <c r="C57" s="36" t="s">
        <v>19</v>
      </c>
      <c r="D57" s="65" t="s">
        <v>425</v>
      </c>
      <c r="E57" s="37">
        <f>IF($D57="","",VLOOKUP($D57,CTPit!$E$10:$BG$214,E$1,FALSE))</f>
        <v>23</v>
      </c>
      <c r="F57" s="37" t="str">
        <f>IF($D57="","",VLOOKUP($D57,CTPit!$E$10:$BG$214,F$1+1,FALSE))</f>
        <v>R</v>
      </c>
      <c r="G57" s="53">
        <f t="shared" si="91"/>
        <v>0</v>
      </c>
      <c r="H57" s="246">
        <f t="shared" si="92"/>
        <v>0</v>
      </c>
      <c r="I57" s="247">
        <f t="shared" si="93"/>
        <v>1</v>
      </c>
      <c r="J57" s="99" t="str">
        <f>IF($D57="","",VLOOKUP($D57,CTPit!$E$10:$BG$72,J$40,FALSE))</f>
        <v>R</v>
      </c>
      <c r="K57" s="246">
        <f t="shared" si="94"/>
        <v>2</v>
      </c>
      <c r="L57" s="53">
        <f>IF($D57="","",VLOOKUP($D57,CTPit!$E$10:$BG$72,L$40,FALSE))</f>
        <v>9</v>
      </c>
      <c r="M57" s="246">
        <f>IF($D57="","",VLOOKUP($D57,CTPit!$E$10:$BG$72,M$40,FALSE))</f>
        <v>5</v>
      </c>
      <c r="N57" s="247">
        <f>IF($D57="","",VLOOKUP($D57,CTPit!$E$10:$BG$72,N$40,FALSE))</f>
        <v>5</v>
      </c>
      <c r="O57" s="246">
        <f>IF($D57="","",VLOOKUP($D57,CTPit!$E$10:$BG$72,O$40,FALSE))</f>
        <v>9</v>
      </c>
      <c r="P57" s="246" t="str">
        <f>IF($D57="","",VLOOKUP($D57,CTPit!$E$10:$BG$72,P$40,FALSE))</f>
        <v>-</v>
      </c>
      <c r="Q57" s="246" t="str">
        <f>IF($D57="","",VLOOKUP($D57,CTPit!$E$10:$BG$72,Q$40,FALSE))</f>
        <v>-</v>
      </c>
      <c r="R57" s="246">
        <f>IF($D57="","",VLOOKUP($D57,CTPit!$E$10:$BG$72,R$40,FALSE))</f>
        <v>8</v>
      </c>
      <c r="S57" s="246" t="str">
        <f>IF($D57="","",VLOOKUP($D57,CTPit!$E$10:$BG$72,S$40,FALSE))</f>
        <v>-</v>
      </c>
      <c r="T57" s="246" t="str">
        <f>IF($D57="","",VLOOKUP($D57,CTPit!$E$10:$BG$72,T$40,FALSE))</f>
        <v>-</v>
      </c>
      <c r="U57" s="246" t="str">
        <f>IF($D57="","",VLOOKUP($D57,CTPit!$E$10:$BG$72,U$40,FALSE))</f>
        <v>-</v>
      </c>
      <c r="V57" s="246" t="str">
        <f>IF($D57="","",VLOOKUP($D57,CTPit!$E$10:$BG$72,V$40,FALSE))</f>
        <v>-</v>
      </c>
      <c r="W57" s="246" t="str">
        <f>IF($D57="","",VLOOKUP($D57,CTPit!$E$10:$BG$72,W$40,FALSE))</f>
        <v>-</v>
      </c>
      <c r="X57" s="246" t="str">
        <f>IF($D57="","",VLOOKUP($D57,CTPit!$E$10:$BG$72,X$40,FALSE))</f>
        <v>-</v>
      </c>
      <c r="Y57" s="246" t="str">
        <f>IF($D57="","",VLOOKUP($D57,CTPit!$E$10:$BG$72,Y$40,FALSE))</f>
        <v>-</v>
      </c>
      <c r="Z57" s="247" t="str">
        <f>IF($D57="","",VLOOKUP($D57,CTPit!$E$10:$BG$72,Z$40,FALSE))</f>
        <v>-</v>
      </c>
      <c r="AA57" s="53" t="str">
        <f>IF($D57="","",VLOOKUP($D57,CTPit!$E$10:$BG$72,AA$40,FALSE))</f>
        <v>96-98 Mph</v>
      </c>
      <c r="AB57" s="246">
        <f>IF($D57="","",VLOOKUP($D57,CTPit!$E$10:$BG$72,AB$40,FALSE))</f>
        <v>1</v>
      </c>
      <c r="AC57" s="80">
        <f>IF($D57="","",VLOOKUP($D57,CTPit!$E$10:$BG$72,AC$40,FALSE))</f>
        <v>0.37</v>
      </c>
      <c r="AH57" t="s">
        <v>299</v>
      </c>
    </row>
    <row r="58" spans="1:34">
      <c r="A58">
        <v>5</v>
      </c>
      <c r="B58" s="263" t="s">
        <v>236</v>
      </c>
      <c r="C58" s="36" t="s">
        <v>19</v>
      </c>
      <c r="D58" s="65" t="s">
        <v>431</v>
      </c>
      <c r="E58" s="37">
        <f>IF($D58="","",VLOOKUP($D58,CTPit!$E$10:$BG$214,E$1,FALSE))</f>
        <v>27</v>
      </c>
      <c r="F58" s="37" t="str">
        <f>IF($D58="","",VLOOKUP($D58,CTPit!$E$10:$BG$214,F$1+1,FALSE))</f>
        <v>R</v>
      </c>
      <c r="G58" s="53">
        <f t="shared" si="91"/>
        <v>0</v>
      </c>
      <c r="H58" s="246">
        <f t="shared" si="92"/>
        <v>0</v>
      </c>
      <c r="I58" s="247">
        <f t="shared" si="93"/>
        <v>1</v>
      </c>
      <c r="J58" s="99" t="str">
        <f>IF($D58="","",VLOOKUP($D58,CTPit!$E$10:$BG$72,J$40,FALSE))</f>
        <v>R</v>
      </c>
      <c r="K58" s="246">
        <f t="shared" si="94"/>
        <v>2</v>
      </c>
      <c r="L58" s="53">
        <f>IF($D58="","",VLOOKUP($D58,CTPit!$E$10:$BG$72,L$40,FALSE))</f>
        <v>4</v>
      </c>
      <c r="M58" s="246">
        <f>IF($D58="","",VLOOKUP($D58,CTPit!$E$10:$BG$72,M$40,FALSE))</f>
        <v>8</v>
      </c>
      <c r="N58" s="247">
        <f>IF($D58="","",VLOOKUP($D58,CTPit!$E$10:$BG$72,N$40,FALSE))</f>
        <v>7</v>
      </c>
      <c r="O58" s="246">
        <f>IF($D58="","",VLOOKUP($D58,CTPit!$E$10:$BG$72,O$40,FALSE))</f>
        <v>5</v>
      </c>
      <c r="P58" s="246" t="str">
        <f>IF($D58="","",VLOOKUP($D58,CTPit!$E$10:$BG$72,P$40,FALSE))</f>
        <v>-</v>
      </c>
      <c r="Q58" s="246" t="str">
        <f>IF($D58="","",VLOOKUP($D58,CTPit!$E$10:$BG$72,Q$40,FALSE))</f>
        <v>-</v>
      </c>
      <c r="R58" s="246">
        <f>IF($D58="","",VLOOKUP($D58,CTPit!$E$10:$BG$72,R$40,FALSE))</f>
        <v>4</v>
      </c>
      <c r="S58" s="246" t="str">
        <f>IF($D58="","",VLOOKUP($D58,CTPit!$E$10:$BG$72,S$40,FALSE))</f>
        <v>-</v>
      </c>
      <c r="T58" s="246" t="str">
        <f>IF($D58="","",VLOOKUP($D58,CTPit!$E$10:$BG$72,T$40,FALSE))</f>
        <v>-</v>
      </c>
      <c r="U58" s="246" t="str">
        <f>IF($D58="","",VLOOKUP($D58,CTPit!$E$10:$BG$72,U$40,FALSE))</f>
        <v>-</v>
      </c>
      <c r="V58" s="246" t="str">
        <f>IF($D58="","",VLOOKUP($D58,CTPit!$E$10:$BG$72,V$40,FALSE))</f>
        <v>-</v>
      </c>
      <c r="W58" s="246" t="str">
        <f>IF($D58="","",VLOOKUP($D58,CTPit!$E$10:$BG$72,W$40,FALSE))</f>
        <v>-</v>
      </c>
      <c r="X58" s="246" t="str">
        <f>IF($D58="","",VLOOKUP($D58,CTPit!$E$10:$BG$72,X$40,FALSE))</f>
        <v>-</v>
      </c>
      <c r="Y58" s="246" t="str">
        <f>IF($D58="","",VLOOKUP($D58,CTPit!$E$10:$BG$72,Y$40,FALSE))</f>
        <v>-</v>
      </c>
      <c r="Z58" s="247" t="str">
        <f>IF($D58="","",VLOOKUP($D58,CTPit!$E$10:$BG$72,Z$40,FALSE))</f>
        <v>-</v>
      </c>
      <c r="AA58" s="53" t="str">
        <f>IF($D58="","",VLOOKUP($D58,CTPit!$E$10:$BG$72,AA$40,FALSE))</f>
        <v>90-92 Mph</v>
      </c>
      <c r="AB58" s="246">
        <f>IF($D58="","",VLOOKUP($D58,CTPit!$E$10:$BG$72,AB$40,FALSE))</f>
        <v>3</v>
      </c>
      <c r="AC58" s="80">
        <f>IF($D58="","",VLOOKUP($D58,CTPit!$E$10:$BG$72,AC$40,FALSE))</f>
        <v>0.7</v>
      </c>
    </row>
    <row r="59" spans="1:34">
      <c r="A59">
        <v>6</v>
      </c>
      <c r="B59" s="264">
        <v>2019</v>
      </c>
      <c r="C59" s="39" t="s">
        <v>19</v>
      </c>
      <c r="D59" s="40" t="s">
        <v>220</v>
      </c>
      <c r="E59" s="40">
        <f>IF($D59="","",VLOOKUP($D59,CTPit!$E$10:$BG$214,E$1,FALSE))</f>
        <v>24</v>
      </c>
      <c r="F59" s="40" t="str">
        <f>IF($D59="","",VLOOKUP($D59,CTPit!$E$10:$BG$214,F$1+1,FALSE))</f>
        <v>R</v>
      </c>
      <c r="G59" s="54">
        <f t="shared" si="91"/>
        <v>0</v>
      </c>
      <c r="H59" s="244">
        <f t="shared" si="92"/>
        <v>1</v>
      </c>
      <c r="I59" s="245">
        <f t="shared" si="93"/>
        <v>1</v>
      </c>
      <c r="J59" s="100" t="str">
        <f>IF($D59="","",VLOOKUP($D59,CTPit!$E$10:$BG$72,J$40,FALSE))</f>
        <v>R</v>
      </c>
      <c r="K59" s="244">
        <f t="shared" si="94"/>
        <v>4</v>
      </c>
      <c r="L59" s="54">
        <f>IF($D59="","",VLOOKUP($D59,CTPit!$E$10:$BG$72,L$40,FALSE))</f>
        <v>9</v>
      </c>
      <c r="M59" s="244">
        <f>IF($D59="","",VLOOKUP($D59,CTPit!$E$10:$BG$72,M$40,FALSE))</f>
        <v>6</v>
      </c>
      <c r="N59" s="245">
        <f>IF($D59="","",VLOOKUP($D59,CTPit!$E$10:$BG$72,N$40,FALSE))</f>
        <v>5</v>
      </c>
      <c r="O59" s="244">
        <f>IF($D59="","",VLOOKUP($D59,CTPit!$E$10:$BG$72,O$40,FALSE))</f>
        <v>8</v>
      </c>
      <c r="P59" s="244">
        <f>IF($D59="","",VLOOKUP($D59,CTPit!$E$10:$BG$72,P$40,FALSE))</f>
        <v>3</v>
      </c>
      <c r="Q59" s="244" t="str">
        <f>IF($D59="","",VLOOKUP($D59,CTPit!$E$10:$BG$72,Q$40,FALSE))</f>
        <v>-</v>
      </c>
      <c r="R59" s="244">
        <f>IF($D59="","",VLOOKUP($D59,CTPit!$E$10:$BG$72,R$40,FALSE))</f>
        <v>5</v>
      </c>
      <c r="S59" s="244">
        <f>IF($D59="","",VLOOKUP($D59,CTPit!$E$10:$BG$72,S$40,FALSE))</f>
        <v>6</v>
      </c>
      <c r="T59" s="244" t="str">
        <f>IF($D59="","",VLOOKUP($D59,CTPit!$E$10:$BG$72,T$40,FALSE))</f>
        <v>-</v>
      </c>
      <c r="U59" s="244" t="str">
        <f>IF($D59="","",VLOOKUP($D59,CTPit!$E$10:$BG$72,U$40,FALSE))</f>
        <v>-</v>
      </c>
      <c r="V59" s="244" t="str">
        <f>IF($D59="","",VLOOKUP($D59,CTPit!$E$10:$BG$72,V$40,FALSE))</f>
        <v>-</v>
      </c>
      <c r="W59" s="244" t="str">
        <f>IF($D59="","",VLOOKUP($D59,CTPit!$E$10:$BG$72,W$40,FALSE))</f>
        <v>-</v>
      </c>
      <c r="X59" s="244" t="str">
        <f>IF($D59="","",VLOOKUP($D59,CTPit!$E$10:$BG$72,X$40,FALSE))</f>
        <v>-</v>
      </c>
      <c r="Y59" s="244" t="str">
        <f>IF($D59="","",VLOOKUP($D59,CTPit!$E$10:$BG$72,Y$40,FALSE))</f>
        <v>-</v>
      </c>
      <c r="Z59" s="245" t="str">
        <f>IF($D59="","",VLOOKUP($D59,CTPit!$E$10:$BG$72,Z$40,FALSE))</f>
        <v>-</v>
      </c>
      <c r="AA59" s="54" t="str">
        <f>IF($D59="","",VLOOKUP($D59,CTPit!$E$10:$BG$72,AA$40,FALSE))</f>
        <v>99-101 Mph</v>
      </c>
      <c r="AB59" s="244">
        <f>IF($D59="","",VLOOKUP($D59,CTPit!$E$10:$BG$72,AB$40,FALSE))</f>
        <v>9</v>
      </c>
      <c r="AC59" s="81">
        <f>IF($D59="","",VLOOKUP($D59,CTPit!$E$10:$BG$72,AC$40,FALSE))</f>
        <v>0.56999999999999995</v>
      </c>
    </row>
  </sheetData>
  <mergeCells count="6">
    <mergeCell ref="AI31:AU31"/>
    <mergeCell ref="AH26:AU26"/>
    <mergeCell ref="AI27:AU27"/>
    <mergeCell ref="AI28:AU28"/>
    <mergeCell ref="AI29:AU29"/>
    <mergeCell ref="AI30:AU30"/>
  </mergeCells>
  <conditionalFormatting sqref="H13">
    <cfRule type="expression" dxfId="122" priority="15">
      <formula>IF(SUM(H14:H19)&gt;1,1,0)</formula>
    </cfRule>
  </conditionalFormatting>
  <conditionalFormatting sqref="I13">
    <cfRule type="expression" dxfId="121" priority="14">
      <formula>IF(SUM(I14:I19)&gt;1,1,0)</formula>
    </cfRule>
  </conditionalFormatting>
  <conditionalFormatting sqref="G13">
    <cfRule type="expression" dxfId="120" priority="13">
      <formula>IF(OR(SUM(G14:G19)&gt;1,SUM(G14:G19)=0),1,0)</formula>
    </cfRule>
  </conditionalFormatting>
  <conditionalFormatting sqref="J2">
    <cfRule type="expression" dxfId="119" priority="12">
      <formula>-IF(SUM(J3:J11)&gt;1,1,0)</formula>
    </cfRule>
  </conditionalFormatting>
  <conditionalFormatting sqref="I2">
    <cfRule type="expression" dxfId="118" priority="11">
      <formula>-IF(SUM(I3:I11)&gt;1,1,0)</formula>
    </cfRule>
  </conditionalFormatting>
  <conditionalFormatting sqref="G21">
    <cfRule type="expression" dxfId="117" priority="10">
      <formula>IF(SUM($G$22:$G$24)&gt;1,1,0)</formula>
    </cfRule>
  </conditionalFormatting>
  <conditionalFormatting sqref="G41">
    <cfRule type="expression" dxfId="116" priority="9">
      <formula>IF(SUM($G$42:$G$47)&gt;1,1,0)</formula>
    </cfRule>
  </conditionalFormatting>
  <conditionalFormatting sqref="I41">
    <cfRule type="expression" dxfId="115" priority="8">
      <formula>IF(SUM($I$42:$I$47)&gt;3,1,0)</formula>
    </cfRule>
  </conditionalFormatting>
  <conditionalFormatting sqref="H41">
    <cfRule type="expression" dxfId="114" priority="7">
      <formula>IF(SUM($H$42:$H$47)&gt;2,1,0)</formula>
    </cfRule>
  </conditionalFormatting>
  <conditionalFormatting sqref="D22:D24 D14:D19 D3:D11">
    <cfRule type="expression" dxfId="113" priority="5">
      <formula>IF($BA3&lt;4.5,1,0)</formula>
    </cfRule>
    <cfRule type="expression" dxfId="112" priority="6">
      <formula>IF($BA3&gt;7,1,0)</formula>
    </cfRule>
  </conditionalFormatting>
  <conditionalFormatting sqref="D15">
    <cfRule type="expression" dxfId="111" priority="3">
      <formula>IF($BA15&lt;4.5,1,0)</formula>
    </cfRule>
    <cfRule type="expression" dxfId="110" priority="4">
      <formula>IF($BA15&gt;7,1,0)</formula>
    </cfRule>
  </conditionalFormatting>
  <conditionalFormatting sqref="G2">
    <cfRule type="expression" dxfId="109" priority="2">
      <formula>IF(OR(SUM(G3:G11)&gt;1,SUM(G3:G11)=0),1,0)</formula>
    </cfRule>
  </conditionalFormatting>
  <conditionalFormatting sqref="H2">
    <cfRule type="expression" dxfId="108" priority="1">
      <formula>IF(SUM(H3:H11)&gt;1,1,0)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published="0" codeName="Sheet3">
    <tabColor theme="9"/>
  </sheetPr>
  <dimension ref="A1:R97"/>
  <sheetViews>
    <sheetView zoomScale="85" zoomScaleNormal="85" workbookViewId="0">
      <selection activeCell="F6" sqref="F6"/>
    </sheetView>
  </sheetViews>
  <sheetFormatPr defaultRowHeight="15"/>
  <cols>
    <col min="2" max="2" width="22.28515625" style="110" bestFit="1" customWidth="1"/>
    <col min="3" max="4" width="5.5703125" bestFit="1" customWidth="1"/>
    <col min="5" max="5" width="13.85546875" bestFit="1" customWidth="1"/>
    <col min="6" max="12" width="13.140625" bestFit="1" customWidth="1"/>
    <col min="13" max="16" width="12.85546875" bestFit="1" customWidth="1"/>
    <col min="17" max="17" width="12.85546875" customWidth="1"/>
  </cols>
  <sheetData>
    <row r="1" spans="1:15" ht="15.75" thickBot="1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</row>
    <row r="2" spans="1:15" ht="15.75" thickBot="1">
      <c r="A2" s="12" t="s">
        <v>545</v>
      </c>
      <c r="B2" s="12" t="s">
        <v>118</v>
      </c>
      <c r="C2" s="13" t="s">
        <v>119</v>
      </c>
      <c r="D2" s="13" t="s">
        <v>91</v>
      </c>
      <c r="E2" s="13" t="s">
        <v>120</v>
      </c>
      <c r="F2" s="13">
        <v>2019</v>
      </c>
      <c r="G2" s="310">
        <f t="shared" ref="G2" si="0">F2+1</f>
        <v>2020</v>
      </c>
      <c r="H2" s="310">
        <f t="shared" ref="H2" si="1">G2+1</f>
        <v>2021</v>
      </c>
      <c r="I2" s="310">
        <f t="shared" ref="I2" si="2">H2+1</f>
        <v>2022</v>
      </c>
      <c r="J2" s="310">
        <f t="shared" ref="J2" si="3">I2+1</f>
        <v>2023</v>
      </c>
      <c r="K2" s="310">
        <f t="shared" ref="K2" si="4">J2+1</f>
        <v>2024</v>
      </c>
      <c r="L2" s="310">
        <f t="shared" ref="L2" si="5">K2+1</f>
        <v>2025</v>
      </c>
      <c r="M2" s="310">
        <f t="shared" ref="M2:O2" si="6">L2+1</f>
        <v>2026</v>
      </c>
      <c r="N2" s="310">
        <f t="shared" si="6"/>
        <v>2027</v>
      </c>
      <c r="O2" s="310">
        <f t="shared" si="6"/>
        <v>2028</v>
      </c>
    </row>
    <row r="3" spans="1:15" ht="15.75" thickBot="1">
      <c r="B3" s="14" t="s">
        <v>600</v>
      </c>
      <c r="C3" s="15" t="s">
        <v>94</v>
      </c>
      <c r="D3" s="15">
        <v>31</v>
      </c>
      <c r="E3" s="15" t="s">
        <v>619</v>
      </c>
      <c r="F3" s="16">
        <v>21000000</v>
      </c>
      <c r="G3" s="16">
        <v>23000000</v>
      </c>
      <c r="H3" s="16">
        <v>25000000</v>
      </c>
      <c r="I3" s="16">
        <v>27000000</v>
      </c>
      <c r="J3" s="16">
        <v>29000000</v>
      </c>
      <c r="K3" s="15" t="s">
        <v>620</v>
      </c>
      <c r="L3" s="15"/>
      <c r="M3" s="15"/>
      <c r="N3" s="15"/>
      <c r="O3" s="15"/>
    </row>
    <row r="4" spans="1:15" ht="15.75" thickBot="1">
      <c r="B4" s="17" t="s">
        <v>567</v>
      </c>
      <c r="C4" s="18" t="s">
        <v>97</v>
      </c>
      <c r="D4" s="18">
        <v>31</v>
      </c>
      <c r="E4" s="18" t="s">
        <v>547</v>
      </c>
      <c r="F4" s="19">
        <v>13000000</v>
      </c>
      <c r="G4" s="18"/>
      <c r="H4" s="18"/>
      <c r="I4" s="18"/>
      <c r="J4" s="18"/>
      <c r="K4" s="18"/>
      <c r="L4" s="18"/>
      <c r="M4" s="18"/>
      <c r="N4" s="18"/>
      <c r="O4" s="18"/>
    </row>
    <row r="5" spans="1:15" ht="15.75" thickBot="1">
      <c r="B5" s="14" t="s">
        <v>319</v>
      </c>
      <c r="C5" s="15" t="s">
        <v>108</v>
      </c>
      <c r="D5" s="15">
        <v>25</v>
      </c>
      <c r="E5" s="15" t="s">
        <v>548</v>
      </c>
      <c r="F5" s="16">
        <v>9200000</v>
      </c>
      <c r="G5" s="16">
        <v>9800000</v>
      </c>
      <c r="H5" s="16">
        <v>10300000</v>
      </c>
      <c r="I5" s="16">
        <v>11000000</v>
      </c>
      <c r="J5" s="15"/>
      <c r="K5" s="15"/>
      <c r="L5" s="15"/>
      <c r="M5" s="15"/>
      <c r="N5" s="15"/>
      <c r="O5" s="15"/>
    </row>
    <row r="6" spans="1:15" ht="15.75" thickBot="1">
      <c r="B6" s="14" t="s">
        <v>646</v>
      </c>
      <c r="C6" s="15" t="s">
        <v>92</v>
      </c>
      <c r="D6" s="15">
        <v>30</v>
      </c>
      <c r="E6" s="15" t="s">
        <v>647</v>
      </c>
      <c r="F6" s="16">
        <v>9000000</v>
      </c>
      <c r="G6" s="16">
        <v>9500000</v>
      </c>
      <c r="H6" s="16">
        <v>9750000</v>
      </c>
      <c r="I6" s="16"/>
      <c r="J6" s="15"/>
      <c r="K6" s="15"/>
      <c r="L6" s="15"/>
      <c r="M6" s="15"/>
      <c r="N6" s="15"/>
      <c r="O6" s="15"/>
    </row>
    <row r="7" spans="1:15" ht="15.75" thickBot="1">
      <c r="B7" s="17" t="s">
        <v>594</v>
      </c>
      <c r="C7" s="18" t="s">
        <v>99</v>
      </c>
      <c r="D7" s="18">
        <v>28</v>
      </c>
      <c r="E7" s="18" t="s">
        <v>621</v>
      </c>
      <c r="F7" s="19">
        <v>7500000</v>
      </c>
      <c r="G7" s="19">
        <v>8500000</v>
      </c>
      <c r="H7" s="19">
        <v>9500000</v>
      </c>
      <c r="I7" s="19">
        <v>10500000</v>
      </c>
      <c r="J7" s="18" t="s">
        <v>622</v>
      </c>
      <c r="K7" s="18"/>
      <c r="L7" s="18"/>
      <c r="M7" s="18"/>
      <c r="N7" s="18"/>
      <c r="O7" s="18"/>
    </row>
    <row r="8" spans="1:15" ht="15.75" thickBot="1">
      <c r="B8" s="14" t="s">
        <v>522</v>
      </c>
      <c r="C8" s="15" t="s">
        <v>98</v>
      </c>
      <c r="D8" s="15">
        <v>27</v>
      </c>
      <c r="E8" s="15" t="s">
        <v>553</v>
      </c>
      <c r="F8" s="16">
        <v>6875000</v>
      </c>
      <c r="G8" s="15" t="s">
        <v>121</v>
      </c>
      <c r="H8" s="15" t="s">
        <v>121</v>
      </c>
      <c r="I8" s="15" t="s">
        <v>121</v>
      </c>
      <c r="J8" s="15"/>
      <c r="K8" s="15"/>
      <c r="L8" s="15"/>
      <c r="M8" s="15"/>
      <c r="N8" s="15"/>
      <c r="O8" s="15"/>
    </row>
    <row r="9" spans="1:15" ht="15.75" thickBot="1">
      <c r="B9" s="17" t="s">
        <v>521</v>
      </c>
      <c r="C9" s="18" t="s">
        <v>107</v>
      </c>
      <c r="D9" s="18">
        <v>30</v>
      </c>
      <c r="E9" s="18" t="s">
        <v>549</v>
      </c>
      <c r="F9" s="19">
        <v>4000000</v>
      </c>
      <c r="G9" s="18" t="s">
        <v>121</v>
      </c>
      <c r="H9" s="18" t="s">
        <v>121</v>
      </c>
      <c r="I9" s="18" t="s">
        <v>121</v>
      </c>
      <c r="J9" s="18"/>
      <c r="K9" s="18"/>
      <c r="L9" s="18"/>
      <c r="M9" s="18"/>
      <c r="N9" s="18"/>
      <c r="O9" s="18"/>
    </row>
    <row r="10" spans="1:15" ht="15.75" thickBot="1">
      <c r="B10" s="14" t="s">
        <v>427</v>
      </c>
      <c r="C10" s="15" t="s">
        <v>108</v>
      </c>
      <c r="D10" s="15">
        <v>26</v>
      </c>
      <c r="E10" s="15" t="s">
        <v>550</v>
      </c>
      <c r="F10" s="16">
        <v>3260000</v>
      </c>
      <c r="G10" s="16">
        <v>4260000</v>
      </c>
      <c r="H10" s="16">
        <v>5260000</v>
      </c>
      <c r="I10" s="16">
        <v>6260000</v>
      </c>
      <c r="J10" s="15" t="s">
        <v>579</v>
      </c>
      <c r="K10" s="15"/>
      <c r="L10" s="15"/>
      <c r="M10" s="15"/>
      <c r="N10" s="15"/>
      <c r="O10" s="15"/>
    </row>
    <row r="11" spans="1:15" ht="15.75" thickBot="1">
      <c r="B11" s="17" t="s">
        <v>503</v>
      </c>
      <c r="C11" s="18" t="s">
        <v>108</v>
      </c>
      <c r="D11" s="18">
        <v>25</v>
      </c>
      <c r="E11" s="18" t="s">
        <v>556</v>
      </c>
      <c r="F11" s="19">
        <v>2750000</v>
      </c>
      <c r="G11" s="19">
        <v>3500000</v>
      </c>
      <c r="H11" s="19">
        <v>4000000</v>
      </c>
      <c r="I11" s="19">
        <v>4750000</v>
      </c>
      <c r="J11" s="18" t="s">
        <v>121</v>
      </c>
      <c r="K11" s="18"/>
      <c r="L11" s="18"/>
      <c r="M11" s="18"/>
      <c r="N11" s="18"/>
      <c r="O11" s="18"/>
    </row>
    <row r="12" spans="1:15" ht="15.75" thickBot="1">
      <c r="B12" s="14" t="s">
        <v>422</v>
      </c>
      <c r="C12" s="15" t="s">
        <v>109</v>
      </c>
      <c r="D12" s="15">
        <v>27</v>
      </c>
      <c r="E12" s="15" t="s">
        <v>555</v>
      </c>
      <c r="F12" s="16">
        <v>2250000</v>
      </c>
      <c r="G12" s="16">
        <v>2250000</v>
      </c>
      <c r="H12" s="16">
        <v>2250000</v>
      </c>
      <c r="I12" s="15" t="s">
        <v>121</v>
      </c>
      <c r="J12" s="15"/>
      <c r="K12" s="15"/>
      <c r="L12" s="15"/>
      <c r="M12" s="15"/>
      <c r="N12" s="15"/>
      <c r="O12" s="15"/>
    </row>
    <row r="13" spans="1:15" ht="15.75" thickBot="1">
      <c r="B13" s="17" t="s">
        <v>379</v>
      </c>
      <c r="C13" s="18" t="s">
        <v>97</v>
      </c>
      <c r="D13" s="18">
        <v>30</v>
      </c>
      <c r="E13" s="18" t="s">
        <v>551</v>
      </c>
      <c r="F13" s="19">
        <v>2200000</v>
      </c>
      <c r="G13" s="19">
        <v>2200000</v>
      </c>
      <c r="H13" s="18"/>
      <c r="I13" s="18"/>
      <c r="J13" s="18"/>
      <c r="K13" s="18"/>
      <c r="L13" s="18"/>
      <c r="M13" s="18"/>
      <c r="N13" s="18"/>
      <c r="O13" s="18"/>
    </row>
    <row r="14" spans="1:15" ht="15.75" thickBot="1">
      <c r="B14" s="14" t="s">
        <v>504</v>
      </c>
      <c r="C14" s="15" t="s">
        <v>107</v>
      </c>
      <c r="D14" s="15">
        <v>28</v>
      </c>
      <c r="E14" s="15" t="s">
        <v>555</v>
      </c>
      <c r="F14" s="16">
        <v>850000</v>
      </c>
      <c r="G14" s="16">
        <v>900000</v>
      </c>
      <c r="H14" s="15" t="s">
        <v>121</v>
      </c>
      <c r="I14" s="15" t="s">
        <v>121</v>
      </c>
      <c r="J14" s="15"/>
      <c r="K14" s="15"/>
      <c r="L14" s="15"/>
      <c r="M14" s="15"/>
      <c r="N14" s="15"/>
      <c r="O14" s="15"/>
    </row>
    <row r="15" spans="1:15" ht="15.75" thickBot="1">
      <c r="B15" s="17" t="s">
        <v>450</v>
      </c>
      <c r="C15" s="18" t="s">
        <v>107</v>
      </c>
      <c r="D15" s="18">
        <v>27</v>
      </c>
      <c r="E15" s="18" t="s">
        <v>546</v>
      </c>
      <c r="F15" s="19">
        <v>850000</v>
      </c>
      <c r="G15" s="19">
        <v>900000</v>
      </c>
      <c r="H15" s="18" t="s">
        <v>121</v>
      </c>
      <c r="I15" s="18" t="s">
        <v>121</v>
      </c>
      <c r="J15" s="18"/>
      <c r="K15" s="18"/>
      <c r="L15" s="18"/>
      <c r="M15" s="18"/>
      <c r="N15" s="18"/>
      <c r="O15" s="18"/>
    </row>
    <row r="16" spans="1:15" ht="15.75" thickBot="1">
      <c r="B16" s="14" t="s">
        <v>502</v>
      </c>
      <c r="C16" s="15" t="s">
        <v>107</v>
      </c>
      <c r="D16" s="15">
        <v>24</v>
      </c>
      <c r="E16" s="15" t="s">
        <v>552</v>
      </c>
      <c r="F16" s="16">
        <v>828000</v>
      </c>
      <c r="G16" s="16">
        <v>828000</v>
      </c>
      <c r="H16" s="16">
        <v>828000</v>
      </c>
      <c r="I16" s="15" t="s">
        <v>121</v>
      </c>
      <c r="J16" s="15" t="s">
        <v>121</v>
      </c>
      <c r="K16" s="15" t="s">
        <v>121</v>
      </c>
      <c r="L16" s="15"/>
      <c r="M16" s="15"/>
      <c r="N16" s="15"/>
      <c r="O16" s="15"/>
    </row>
    <row r="17" spans="2:15" ht="15.75" thickBot="1">
      <c r="B17" s="17" t="s">
        <v>462</v>
      </c>
      <c r="C17" s="18" t="s">
        <v>107</v>
      </c>
      <c r="D17" s="18">
        <v>29</v>
      </c>
      <c r="E17" s="18" t="s">
        <v>555</v>
      </c>
      <c r="F17" s="19">
        <v>800000</v>
      </c>
      <c r="G17" s="19">
        <v>900000</v>
      </c>
      <c r="H17" s="18" t="s">
        <v>121</v>
      </c>
      <c r="I17" s="18" t="s">
        <v>121</v>
      </c>
      <c r="J17" s="18"/>
      <c r="K17" s="18"/>
      <c r="L17" s="18"/>
      <c r="M17" s="18"/>
      <c r="N17" s="18"/>
      <c r="O17" s="18"/>
    </row>
    <row r="18" spans="2:15" ht="15.75" thickBot="1">
      <c r="B18" s="14" t="s">
        <v>428</v>
      </c>
      <c r="C18" s="15" t="s">
        <v>108</v>
      </c>
      <c r="D18" s="15">
        <v>28</v>
      </c>
      <c r="E18" s="15" t="s">
        <v>565</v>
      </c>
      <c r="F18" s="16">
        <v>800000</v>
      </c>
      <c r="G18" s="16">
        <v>950000</v>
      </c>
      <c r="H18" s="15" t="s">
        <v>121</v>
      </c>
      <c r="I18" s="15" t="s">
        <v>121</v>
      </c>
      <c r="J18" s="15"/>
      <c r="K18" s="15"/>
      <c r="L18" s="15"/>
      <c r="M18" s="15"/>
      <c r="N18" s="15"/>
      <c r="O18" s="15"/>
    </row>
    <row r="19" spans="2:15" ht="15.75" thickBot="1">
      <c r="B19" s="17" t="s">
        <v>509</v>
      </c>
      <c r="C19" s="18" t="s">
        <v>92</v>
      </c>
      <c r="D19" s="18">
        <v>27</v>
      </c>
      <c r="E19" s="18" t="s">
        <v>552</v>
      </c>
      <c r="F19" s="19">
        <v>500000</v>
      </c>
      <c r="G19" s="19">
        <v>500000</v>
      </c>
      <c r="H19" s="19">
        <v>500000</v>
      </c>
      <c r="I19" s="18" t="s">
        <v>121</v>
      </c>
      <c r="J19" s="18" t="s">
        <v>121</v>
      </c>
      <c r="K19" s="18" t="s">
        <v>121</v>
      </c>
      <c r="L19" s="18"/>
      <c r="M19" s="18"/>
      <c r="N19" s="18"/>
      <c r="O19" s="18"/>
    </row>
    <row r="20" spans="2:15" ht="15.75" thickBot="1">
      <c r="B20" s="14" t="s">
        <v>623</v>
      </c>
      <c r="C20" s="15" t="s">
        <v>100</v>
      </c>
      <c r="D20" s="15">
        <v>25</v>
      </c>
      <c r="E20" s="15" t="s">
        <v>576</v>
      </c>
      <c r="F20" s="16">
        <v>500000</v>
      </c>
      <c r="G20" s="16">
        <v>500000</v>
      </c>
      <c r="H20" s="16">
        <v>500000</v>
      </c>
      <c r="I20" s="15" t="s">
        <v>121</v>
      </c>
      <c r="J20" s="15" t="s">
        <v>121</v>
      </c>
      <c r="K20" s="15" t="s">
        <v>121</v>
      </c>
      <c r="L20" s="15"/>
      <c r="M20" s="15"/>
      <c r="N20" s="15"/>
      <c r="O20" s="15"/>
    </row>
    <row r="21" spans="2:15" ht="15.75" thickBot="1">
      <c r="B21" s="17" t="s">
        <v>624</v>
      </c>
      <c r="C21" s="18" t="s">
        <v>100</v>
      </c>
      <c r="D21" s="18">
        <v>26</v>
      </c>
      <c r="E21" s="18" t="s">
        <v>575</v>
      </c>
      <c r="F21" s="19">
        <v>500000</v>
      </c>
      <c r="G21" s="19">
        <v>500000</v>
      </c>
      <c r="H21" s="19">
        <v>500000</v>
      </c>
      <c r="I21" s="19">
        <v>500000</v>
      </c>
      <c r="J21" s="18" t="s">
        <v>121</v>
      </c>
      <c r="K21" s="18" t="s">
        <v>121</v>
      </c>
      <c r="L21" s="18" t="s">
        <v>121</v>
      </c>
      <c r="M21" s="18"/>
      <c r="N21" s="18"/>
      <c r="O21" s="18"/>
    </row>
    <row r="22" spans="2:15" ht="15.75" thickBot="1">
      <c r="B22" s="14" t="s">
        <v>510</v>
      </c>
      <c r="C22" s="15" t="s">
        <v>107</v>
      </c>
      <c r="D22" s="15">
        <v>24</v>
      </c>
      <c r="E22" s="15" t="s">
        <v>552</v>
      </c>
      <c r="F22" s="16">
        <v>500000</v>
      </c>
      <c r="G22" s="16">
        <v>500000</v>
      </c>
      <c r="H22" s="16">
        <v>500000</v>
      </c>
      <c r="I22" s="15" t="s">
        <v>121</v>
      </c>
      <c r="J22" s="15" t="s">
        <v>121</v>
      </c>
      <c r="K22" s="15" t="s">
        <v>121</v>
      </c>
      <c r="L22" s="15"/>
      <c r="M22" s="15"/>
      <c r="N22" s="15"/>
      <c r="O22" s="15"/>
    </row>
    <row r="23" spans="2:15" ht="15.75" thickBot="1">
      <c r="B23" s="17" t="s">
        <v>557</v>
      </c>
      <c r="C23" s="18" t="s">
        <v>99</v>
      </c>
      <c r="D23" s="18">
        <v>25</v>
      </c>
      <c r="E23" s="18" t="s">
        <v>573</v>
      </c>
      <c r="F23" s="19">
        <v>500000</v>
      </c>
      <c r="G23" s="19">
        <v>500000</v>
      </c>
      <c r="H23" s="19">
        <v>500000</v>
      </c>
      <c r="I23" s="19">
        <v>500000</v>
      </c>
      <c r="J23" s="18" t="s">
        <v>121</v>
      </c>
      <c r="K23" s="18" t="s">
        <v>121</v>
      </c>
      <c r="L23" s="18" t="s">
        <v>121</v>
      </c>
      <c r="M23" s="18"/>
      <c r="N23" s="18"/>
      <c r="O23" s="18"/>
    </row>
    <row r="24" spans="2:15" ht="15.75" thickBot="1">
      <c r="B24" s="14" t="s">
        <v>544</v>
      </c>
      <c r="C24" s="15" t="s">
        <v>94</v>
      </c>
      <c r="D24" s="15">
        <v>29</v>
      </c>
      <c r="E24" s="15" t="s">
        <v>574</v>
      </c>
      <c r="F24" s="16">
        <v>500000</v>
      </c>
      <c r="G24" s="16">
        <v>500000</v>
      </c>
      <c r="H24" s="15" t="s">
        <v>121</v>
      </c>
      <c r="I24" s="15" t="s">
        <v>121</v>
      </c>
      <c r="J24" s="15" t="s">
        <v>121</v>
      </c>
      <c r="K24" s="15"/>
      <c r="L24" s="15"/>
      <c r="M24" s="15"/>
      <c r="N24" s="15"/>
      <c r="O24" s="15"/>
    </row>
    <row r="25" spans="2:15" ht="15.75" thickBot="1">
      <c r="B25" s="17" t="s">
        <v>508</v>
      </c>
      <c r="C25" s="18" t="s">
        <v>96</v>
      </c>
      <c r="D25" s="18">
        <v>25</v>
      </c>
      <c r="E25" s="18" t="s">
        <v>552</v>
      </c>
      <c r="F25" s="19">
        <v>500000</v>
      </c>
      <c r="G25" s="19">
        <v>500000</v>
      </c>
      <c r="H25" s="19">
        <v>500000</v>
      </c>
      <c r="I25" s="18" t="s">
        <v>121</v>
      </c>
      <c r="J25" s="18" t="s">
        <v>121</v>
      </c>
      <c r="K25" s="18" t="s">
        <v>121</v>
      </c>
      <c r="L25" s="18"/>
      <c r="M25" s="18"/>
      <c r="N25" s="18"/>
      <c r="O25" s="18"/>
    </row>
    <row r="26" spans="2:15" ht="15.75" thickBot="1">
      <c r="B26" s="14" t="s">
        <v>563</v>
      </c>
      <c r="C26" s="15" t="s">
        <v>107</v>
      </c>
      <c r="D26" s="15">
        <v>24</v>
      </c>
      <c r="E26" s="15" t="s">
        <v>572</v>
      </c>
      <c r="F26" s="16">
        <v>500000</v>
      </c>
      <c r="G26" s="16">
        <v>500000</v>
      </c>
      <c r="H26" s="16">
        <v>500000</v>
      </c>
      <c r="I26" s="15" t="s">
        <v>121</v>
      </c>
      <c r="J26" s="15" t="s">
        <v>121</v>
      </c>
      <c r="K26" s="15" t="s">
        <v>121</v>
      </c>
      <c r="L26" s="15"/>
      <c r="M26" s="15"/>
      <c r="N26" s="15"/>
      <c r="O26" s="15"/>
    </row>
    <row r="27" spans="2:15" ht="15.75" thickBot="1">
      <c r="B27" s="17" t="s">
        <v>554</v>
      </c>
      <c r="C27" s="18" t="s">
        <v>107</v>
      </c>
      <c r="D27" s="18">
        <v>25</v>
      </c>
      <c r="E27" s="18" t="s">
        <v>570</v>
      </c>
      <c r="F27" s="19">
        <v>500000</v>
      </c>
      <c r="G27" s="19">
        <v>500000</v>
      </c>
      <c r="H27" s="19">
        <v>500000</v>
      </c>
      <c r="I27" s="19">
        <v>500000</v>
      </c>
      <c r="J27" s="18" t="s">
        <v>121</v>
      </c>
      <c r="K27" s="18" t="s">
        <v>121</v>
      </c>
      <c r="L27" s="18" t="s">
        <v>121</v>
      </c>
      <c r="M27" s="18"/>
      <c r="N27" s="18"/>
      <c r="O27" s="18"/>
    </row>
    <row r="28" spans="2:15" ht="15.75" thickBot="1">
      <c r="B28" s="14" t="s">
        <v>625</v>
      </c>
      <c r="C28" s="15" t="s">
        <v>107</v>
      </c>
      <c r="D28" s="15">
        <v>25</v>
      </c>
      <c r="E28" s="15" t="s">
        <v>566</v>
      </c>
      <c r="F28" s="16">
        <v>500000</v>
      </c>
      <c r="G28" s="16">
        <v>500000</v>
      </c>
      <c r="H28" s="16">
        <v>500000</v>
      </c>
      <c r="I28" s="15" t="s">
        <v>121</v>
      </c>
      <c r="J28" s="15" t="s">
        <v>121</v>
      </c>
      <c r="K28" s="15" t="s">
        <v>121</v>
      </c>
      <c r="L28" s="15"/>
      <c r="M28" s="15"/>
      <c r="N28" s="15"/>
      <c r="O28" s="15"/>
    </row>
    <row r="29" spans="2:15" ht="15.75" thickBot="1">
      <c r="B29" s="17" t="s">
        <v>564</v>
      </c>
      <c r="C29" s="18" t="s">
        <v>96</v>
      </c>
      <c r="D29" s="18">
        <v>28</v>
      </c>
      <c r="E29" s="18" t="s">
        <v>568</v>
      </c>
      <c r="F29" s="19">
        <v>500000</v>
      </c>
      <c r="G29" s="19">
        <v>500000</v>
      </c>
      <c r="H29" s="18" t="s">
        <v>121</v>
      </c>
      <c r="I29" s="18" t="s">
        <v>121</v>
      </c>
      <c r="J29" s="18" t="s">
        <v>121</v>
      </c>
      <c r="K29" s="18"/>
      <c r="L29" s="18"/>
      <c r="M29" s="18"/>
      <c r="N29" s="18"/>
      <c r="O29" s="18"/>
    </row>
    <row r="30" spans="2:15" ht="15.75" thickBot="1">
      <c r="B30" s="14" t="s">
        <v>559</v>
      </c>
      <c r="C30" s="15" t="s">
        <v>95</v>
      </c>
      <c r="D30" s="15">
        <v>29</v>
      </c>
      <c r="E30" s="15" t="s">
        <v>560</v>
      </c>
      <c r="F30" s="16">
        <v>500000</v>
      </c>
      <c r="G30" s="16">
        <v>500000</v>
      </c>
      <c r="H30" s="16">
        <v>500000</v>
      </c>
      <c r="I30" s="15" t="s">
        <v>121</v>
      </c>
      <c r="J30" s="15" t="s">
        <v>121</v>
      </c>
      <c r="K30" s="15" t="s">
        <v>121</v>
      </c>
      <c r="L30" s="15"/>
      <c r="M30" s="15"/>
      <c r="N30" s="15"/>
      <c r="O30" s="15"/>
    </row>
    <row r="31" spans="2:15" ht="15.75" thickBot="1">
      <c r="B31" s="17" t="s">
        <v>626</v>
      </c>
      <c r="C31" s="18" t="s">
        <v>107</v>
      </c>
      <c r="D31" s="18">
        <v>27</v>
      </c>
      <c r="E31" s="18" t="s">
        <v>569</v>
      </c>
      <c r="F31" s="19">
        <v>500000</v>
      </c>
      <c r="G31" s="19">
        <v>500000</v>
      </c>
      <c r="H31" s="19">
        <v>500000</v>
      </c>
      <c r="I31" s="19">
        <v>500000</v>
      </c>
      <c r="J31" s="18" t="s">
        <v>121</v>
      </c>
      <c r="K31" s="18" t="s">
        <v>121</v>
      </c>
      <c r="L31" s="18" t="s">
        <v>121</v>
      </c>
      <c r="M31" s="18"/>
      <c r="N31" s="18"/>
      <c r="O31" s="18"/>
    </row>
    <row r="32" spans="2:15" ht="15.75" thickBot="1">
      <c r="B32" s="14" t="s">
        <v>627</v>
      </c>
      <c r="C32" s="15" t="s">
        <v>98</v>
      </c>
      <c r="D32" s="15">
        <v>28</v>
      </c>
      <c r="E32" s="15" t="s">
        <v>560</v>
      </c>
      <c r="F32" s="16">
        <v>500000</v>
      </c>
      <c r="G32" s="16">
        <v>500000</v>
      </c>
      <c r="H32" s="16">
        <v>500000</v>
      </c>
      <c r="I32" s="15" t="s">
        <v>121</v>
      </c>
      <c r="J32" s="15" t="s">
        <v>121</v>
      </c>
      <c r="K32" s="15" t="s">
        <v>121</v>
      </c>
      <c r="L32" s="15"/>
      <c r="M32" s="15"/>
      <c r="N32" s="15"/>
      <c r="O32" s="15"/>
    </row>
    <row r="33" spans="2:15" ht="15.75" thickBot="1">
      <c r="B33" s="17" t="s">
        <v>558</v>
      </c>
      <c r="C33" s="18" t="s">
        <v>107</v>
      </c>
      <c r="D33" s="18">
        <v>33</v>
      </c>
      <c r="E33" s="18" t="s">
        <v>571</v>
      </c>
      <c r="F33" s="19">
        <v>500000</v>
      </c>
      <c r="G33" s="19">
        <v>500000</v>
      </c>
      <c r="H33" s="19">
        <v>500000</v>
      </c>
      <c r="I33" s="19">
        <v>500000</v>
      </c>
      <c r="J33" s="18" t="s">
        <v>121</v>
      </c>
      <c r="K33" s="18" t="s">
        <v>121</v>
      </c>
      <c r="L33" s="18" t="s">
        <v>121</v>
      </c>
      <c r="M33" s="18"/>
      <c r="N33" s="18"/>
      <c r="O33" s="18"/>
    </row>
    <row r="34" spans="2:15" ht="15.75" thickBot="1">
      <c r="B34" s="14" t="s">
        <v>561</v>
      </c>
      <c r="C34" s="15" t="s">
        <v>100</v>
      </c>
      <c r="D34" s="15">
        <v>25</v>
      </c>
      <c r="E34" s="15" t="s">
        <v>562</v>
      </c>
      <c r="F34" s="16">
        <v>500000</v>
      </c>
      <c r="G34" s="16">
        <v>500000</v>
      </c>
      <c r="H34" s="15" t="s">
        <v>121</v>
      </c>
      <c r="I34" s="15" t="s">
        <v>121</v>
      </c>
      <c r="J34" s="15" t="s">
        <v>121</v>
      </c>
      <c r="K34" s="15"/>
      <c r="L34" s="15"/>
      <c r="M34" s="15"/>
      <c r="N34" s="15"/>
      <c r="O34" s="15"/>
    </row>
    <row r="35" spans="2:15" ht="15.75" thickBot="1">
      <c r="B35" s="17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2:15" ht="15.75" thickBot="1">
      <c r="B36" s="14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2:15" ht="15.75" thickBot="1"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2:15" ht="15.75" thickBot="1"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</row>
    <row r="39" spans="2:15" ht="15.75" thickBo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2:15" ht="15.75" thickBot="1"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2:15" ht="15.75" thickBot="1">
      <c r="B41" s="344"/>
      <c r="C41" s="345"/>
      <c r="D41" s="345"/>
      <c r="E41" s="346"/>
      <c r="F41" s="20"/>
      <c r="G41" s="20"/>
      <c r="H41" s="20"/>
      <c r="I41" s="20"/>
      <c r="J41" s="20"/>
      <c r="K41" s="20"/>
      <c r="L41" s="20"/>
      <c r="M41" s="18"/>
      <c r="N41" s="18"/>
      <c r="O41" s="18"/>
    </row>
    <row r="42" spans="2:15" ht="15.75" thickBot="1">
      <c r="B42" s="344" t="s">
        <v>255</v>
      </c>
      <c r="C42" s="345"/>
      <c r="D42" s="345"/>
      <c r="E42" s="346"/>
      <c r="F42" s="20">
        <v>84163000</v>
      </c>
      <c r="G42" s="20">
        <v>72988000</v>
      </c>
      <c r="H42" s="20">
        <v>73138000</v>
      </c>
      <c r="I42" s="20">
        <v>72010000</v>
      </c>
      <c r="J42" s="20">
        <v>58760000</v>
      </c>
      <c r="K42" s="20">
        <v>42000000</v>
      </c>
      <c r="L42" s="20">
        <v>12500000</v>
      </c>
      <c r="M42" s="18"/>
      <c r="N42" s="18"/>
      <c r="O42" s="18"/>
    </row>
    <row r="43" spans="2:15" ht="15.75" thickBot="1">
      <c r="B43" s="344" t="s">
        <v>451</v>
      </c>
      <c r="C43" s="345"/>
      <c r="D43" s="345"/>
      <c r="E43" s="346"/>
      <c r="F43" s="20">
        <v>84163000</v>
      </c>
      <c r="G43" s="20">
        <v>57160000</v>
      </c>
      <c r="H43" s="20">
        <v>56310000</v>
      </c>
      <c r="I43" s="20">
        <v>59510000</v>
      </c>
      <c r="J43" s="20">
        <v>29000000</v>
      </c>
      <c r="K43" s="20">
        <v>0</v>
      </c>
      <c r="L43" s="20">
        <v>0</v>
      </c>
      <c r="M43" s="15"/>
      <c r="N43" s="15"/>
      <c r="O43" s="15"/>
    </row>
    <row r="44" spans="2:15" ht="15.75" thickBot="1">
      <c r="B44" s="344" t="s">
        <v>429</v>
      </c>
      <c r="C44" s="345"/>
      <c r="D44" s="345"/>
      <c r="E44" s="346"/>
      <c r="F44" s="20">
        <v>84163000</v>
      </c>
      <c r="G44" s="20">
        <v>64160000</v>
      </c>
      <c r="H44" s="20">
        <v>65810000</v>
      </c>
      <c r="I44" s="20">
        <v>69510000</v>
      </c>
      <c r="J44" s="20">
        <v>41000000</v>
      </c>
      <c r="K44" s="20">
        <v>12500000</v>
      </c>
      <c r="L44" s="20">
        <v>12500000</v>
      </c>
      <c r="M44" s="18"/>
      <c r="N44" s="18"/>
      <c r="O44" s="18"/>
    </row>
    <row r="45" spans="2:15">
      <c r="B45" s="223" t="s">
        <v>407</v>
      </c>
      <c r="C45" s="223"/>
      <c r="D45" s="223"/>
      <c r="E45" s="223"/>
      <c r="F45" s="224">
        <f>SUM(F3:F41)</f>
        <v>93163000</v>
      </c>
      <c r="G45" s="224">
        <f t="shared" ref="G45:O45" si="7">SUM(G3:G41)</f>
        <v>75488000</v>
      </c>
      <c r="H45" s="224">
        <f t="shared" si="7"/>
        <v>73388000</v>
      </c>
      <c r="I45" s="224">
        <f t="shared" si="7"/>
        <v>62010000</v>
      </c>
      <c r="J45" s="224">
        <f t="shared" si="7"/>
        <v>29000000</v>
      </c>
      <c r="K45" s="224">
        <f t="shared" si="7"/>
        <v>0</v>
      </c>
      <c r="L45" s="224">
        <f t="shared" si="7"/>
        <v>0</v>
      </c>
      <c r="M45" s="224">
        <f t="shared" si="7"/>
        <v>0</v>
      </c>
      <c r="N45" s="224">
        <f t="shared" si="7"/>
        <v>0</v>
      </c>
      <c r="O45" s="224">
        <f t="shared" si="7"/>
        <v>0</v>
      </c>
    </row>
    <row r="46" spans="2:15">
      <c r="B46" s="232" t="s">
        <v>410</v>
      </c>
      <c r="C46" s="232"/>
      <c r="D46" s="232"/>
      <c r="E46" s="232"/>
      <c r="F46" s="233"/>
      <c r="G46" s="233">
        <f t="shared" ref="G46:O46" si="8">F45-G45</f>
        <v>17675000</v>
      </c>
      <c r="H46" s="233">
        <f t="shared" si="8"/>
        <v>2100000</v>
      </c>
      <c r="I46" s="233">
        <f t="shared" si="8"/>
        <v>11378000</v>
      </c>
      <c r="J46" s="233">
        <f t="shared" si="8"/>
        <v>33010000</v>
      </c>
      <c r="K46" s="233">
        <f t="shared" si="8"/>
        <v>29000000</v>
      </c>
      <c r="L46" s="233">
        <f t="shared" si="8"/>
        <v>0</v>
      </c>
      <c r="M46" s="233">
        <f t="shared" si="8"/>
        <v>0</v>
      </c>
      <c r="N46" s="233">
        <f t="shared" si="8"/>
        <v>0</v>
      </c>
      <c r="O46" s="233">
        <f t="shared" si="8"/>
        <v>0</v>
      </c>
    </row>
    <row r="47" spans="2:15">
      <c r="B47" s="1" t="s">
        <v>122</v>
      </c>
      <c r="G47" s="10"/>
    </row>
    <row r="48" spans="2:15">
      <c r="B48" s="1" t="s">
        <v>221</v>
      </c>
      <c r="F48" s="111">
        <f t="shared" ref="F48:L48" si="9">SUM(F49:F55)</f>
        <v>0</v>
      </c>
      <c r="G48" s="111">
        <f t="shared" si="9"/>
        <v>0</v>
      </c>
      <c r="H48" s="111">
        <f t="shared" si="9"/>
        <v>0</v>
      </c>
      <c r="I48" s="111">
        <f t="shared" si="9"/>
        <v>0</v>
      </c>
      <c r="J48" s="111">
        <f t="shared" si="9"/>
        <v>0</v>
      </c>
      <c r="K48" s="111">
        <f t="shared" si="9"/>
        <v>0</v>
      </c>
      <c r="L48" s="111">
        <f t="shared" si="9"/>
        <v>0</v>
      </c>
      <c r="M48" s="111">
        <f t="shared" ref="M48:O48" si="10">SUM(M49:M55)</f>
        <v>0</v>
      </c>
      <c r="N48" s="111">
        <f t="shared" si="10"/>
        <v>0</v>
      </c>
      <c r="O48" s="111">
        <f t="shared" si="10"/>
        <v>0</v>
      </c>
    </row>
    <row r="49" spans="2:15">
      <c r="B49"/>
      <c r="D49" s="183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</row>
    <row r="50" spans="2:15">
      <c r="C50" t="str">
        <f t="shared" ref="C50:E54" si="11">IF(B50="","",VLOOKUP($B50,$B$2:$L$42,C$1,FALSE))</f>
        <v/>
      </c>
      <c r="D50" t="str">
        <f t="shared" si="11"/>
        <v/>
      </c>
      <c r="E50" t="str">
        <f t="shared" si="11"/>
        <v/>
      </c>
      <c r="F50" s="85" t="str">
        <f t="shared" ref="F50:O50" si="12">IF(E50="","",VLOOKUP($B50,$B$2:$O$42,F$1,FALSE))</f>
        <v/>
      </c>
      <c r="G50" s="85" t="str">
        <f t="shared" si="12"/>
        <v/>
      </c>
      <c r="H50" s="85" t="str">
        <f t="shared" si="12"/>
        <v/>
      </c>
      <c r="I50" s="85" t="str">
        <f t="shared" si="12"/>
        <v/>
      </c>
      <c r="J50" s="85" t="str">
        <f t="shared" si="12"/>
        <v/>
      </c>
      <c r="K50" s="85" t="str">
        <f t="shared" si="12"/>
        <v/>
      </c>
      <c r="L50" s="85" t="str">
        <f t="shared" si="12"/>
        <v/>
      </c>
      <c r="M50" s="85" t="str">
        <f t="shared" si="12"/>
        <v/>
      </c>
      <c r="N50" s="85" t="str">
        <f t="shared" si="12"/>
        <v/>
      </c>
      <c r="O50" s="85" t="str">
        <f t="shared" si="12"/>
        <v/>
      </c>
    </row>
    <row r="51" spans="2:15">
      <c r="B51"/>
      <c r="C51" t="str">
        <f t="shared" si="11"/>
        <v/>
      </c>
      <c r="D51" t="str">
        <f t="shared" si="11"/>
        <v/>
      </c>
      <c r="E51" t="str">
        <f t="shared" si="11"/>
        <v/>
      </c>
      <c r="F51" s="85" t="str">
        <f t="shared" ref="F51:O51" si="13">IF(E51="","",VLOOKUP($B51,$B$2:$O$42,F$1,FALSE))</f>
        <v/>
      </c>
      <c r="G51" s="85" t="str">
        <f t="shared" si="13"/>
        <v/>
      </c>
      <c r="H51" s="85" t="str">
        <f t="shared" si="13"/>
        <v/>
      </c>
      <c r="I51" s="85" t="str">
        <f t="shared" si="13"/>
        <v/>
      </c>
      <c r="J51" s="85" t="str">
        <f t="shared" si="13"/>
        <v/>
      </c>
      <c r="K51" s="85" t="str">
        <f t="shared" si="13"/>
        <v/>
      </c>
      <c r="L51" s="85" t="str">
        <f t="shared" si="13"/>
        <v/>
      </c>
      <c r="M51" s="85" t="str">
        <f t="shared" si="13"/>
        <v/>
      </c>
      <c r="N51" s="85" t="str">
        <f t="shared" si="13"/>
        <v/>
      </c>
      <c r="O51" s="85" t="str">
        <f t="shared" si="13"/>
        <v/>
      </c>
    </row>
    <row r="52" spans="2:15">
      <c r="B52"/>
      <c r="C52" t="str">
        <f t="shared" si="11"/>
        <v/>
      </c>
      <c r="D52" t="str">
        <f t="shared" si="11"/>
        <v/>
      </c>
      <c r="E52" t="str">
        <f t="shared" si="11"/>
        <v/>
      </c>
      <c r="F52" s="85" t="str">
        <f t="shared" ref="F52:O52" si="14">IF(E52="","",VLOOKUP($B52,$B$2:$O$42,F$1,FALSE))</f>
        <v/>
      </c>
      <c r="G52" s="85" t="str">
        <f t="shared" si="14"/>
        <v/>
      </c>
      <c r="H52" s="85" t="str">
        <f t="shared" si="14"/>
        <v/>
      </c>
      <c r="I52" s="85" t="str">
        <f t="shared" si="14"/>
        <v/>
      </c>
      <c r="J52" s="85" t="str">
        <f t="shared" si="14"/>
        <v/>
      </c>
      <c r="K52" s="85" t="str">
        <f t="shared" si="14"/>
        <v/>
      </c>
      <c r="L52" s="85" t="str">
        <f t="shared" si="14"/>
        <v/>
      </c>
      <c r="M52" s="85" t="str">
        <f t="shared" si="14"/>
        <v/>
      </c>
      <c r="N52" s="85" t="str">
        <f t="shared" si="14"/>
        <v/>
      </c>
      <c r="O52" s="85" t="str">
        <f t="shared" si="14"/>
        <v/>
      </c>
    </row>
    <row r="53" spans="2:15">
      <c r="B53"/>
      <c r="C53" t="str">
        <f t="shared" si="11"/>
        <v/>
      </c>
      <c r="D53" t="str">
        <f t="shared" si="11"/>
        <v/>
      </c>
      <c r="E53" t="str">
        <f t="shared" si="11"/>
        <v/>
      </c>
      <c r="F53" s="85" t="str">
        <f t="shared" ref="F53:O53" si="15">IF(E53="","",VLOOKUP($B53,$B$2:$O$42,F$1,FALSE))</f>
        <v/>
      </c>
      <c r="G53" s="85" t="str">
        <f t="shared" si="15"/>
        <v/>
      </c>
      <c r="H53" s="85" t="str">
        <f t="shared" si="15"/>
        <v/>
      </c>
      <c r="I53" s="85" t="str">
        <f t="shared" si="15"/>
        <v/>
      </c>
      <c r="J53" s="85" t="str">
        <f t="shared" si="15"/>
        <v/>
      </c>
      <c r="K53" s="85" t="str">
        <f t="shared" si="15"/>
        <v/>
      </c>
      <c r="L53" s="85" t="str">
        <f t="shared" si="15"/>
        <v/>
      </c>
      <c r="M53" s="85" t="str">
        <f t="shared" si="15"/>
        <v/>
      </c>
      <c r="N53" s="85" t="str">
        <f t="shared" si="15"/>
        <v/>
      </c>
      <c r="O53" s="85" t="str">
        <f t="shared" si="15"/>
        <v/>
      </c>
    </row>
    <row r="54" spans="2:15">
      <c r="C54" t="str">
        <f t="shared" si="11"/>
        <v/>
      </c>
      <c r="D54" t="str">
        <f t="shared" si="11"/>
        <v/>
      </c>
      <c r="E54" t="str">
        <f t="shared" si="11"/>
        <v/>
      </c>
      <c r="F54" s="85" t="str">
        <f t="shared" ref="F54:O54" si="16">IF(E54="","",VLOOKUP($B54,$B$2:$O$42,F$1,FALSE))</f>
        <v/>
      </c>
      <c r="G54" s="85" t="str">
        <f t="shared" si="16"/>
        <v/>
      </c>
      <c r="H54" s="85" t="str">
        <f t="shared" si="16"/>
        <v/>
      </c>
      <c r="I54" s="85" t="str">
        <f t="shared" si="16"/>
        <v/>
      </c>
      <c r="J54" s="85" t="str">
        <f t="shared" si="16"/>
        <v/>
      </c>
      <c r="K54" s="85" t="str">
        <f t="shared" si="16"/>
        <v/>
      </c>
      <c r="L54" s="85" t="str">
        <f t="shared" si="16"/>
        <v/>
      </c>
      <c r="M54" s="85" t="str">
        <f t="shared" si="16"/>
        <v/>
      </c>
      <c r="N54" s="85" t="str">
        <f t="shared" si="16"/>
        <v/>
      </c>
      <c r="O54" s="85" t="str">
        <f t="shared" si="16"/>
        <v/>
      </c>
    </row>
    <row r="55" spans="2:15">
      <c r="F55" s="85"/>
      <c r="G55" s="85"/>
      <c r="H55" s="85"/>
      <c r="I55" s="85"/>
      <c r="J55" s="85"/>
      <c r="K55" s="85"/>
      <c r="L55" s="85"/>
      <c r="M55" s="85"/>
      <c r="N55" s="85"/>
      <c r="O55" s="85"/>
    </row>
    <row r="56" spans="2:15" s="22" customFormat="1">
      <c r="B56" s="21" t="str">
        <f t="shared" ref="B56:L56" si="17">B2</f>
        <v>Player</v>
      </c>
      <c r="C56" s="21" t="str">
        <f t="shared" si="17"/>
        <v>Pos</v>
      </c>
      <c r="D56" s="21" t="str">
        <f t="shared" si="17"/>
        <v>Age</v>
      </c>
      <c r="E56" s="21" t="str">
        <f t="shared" si="17"/>
        <v>ML Service</v>
      </c>
      <c r="F56" s="21">
        <f t="shared" si="17"/>
        <v>2019</v>
      </c>
      <c r="G56" s="21">
        <f t="shared" si="17"/>
        <v>2020</v>
      </c>
      <c r="H56" s="21">
        <f t="shared" si="17"/>
        <v>2021</v>
      </c>
      <c r="I56" s="21">
        <f t="shared" si="17"/>
        <v>2022</v>
      </c>
      <c r="J56" s="21">
        <f t="shared" si="17"/>
        <v>2023</v>
      </c>
      <c r="K56" s="21">
        <f t="shared" si="17"/>
        <v>2024</v>
      </c>
      <c r="L56" s="21">
        <f t="shared" si="17"/>
        <v>2025</v>
      </c>
      <c r="M56" s="21">
        <f t="shared" ref="M56:O56" si="18">M2</f>
        <v>2026</v>
      </c>
      <c r="N56" s="21">
        <f t="shared" si="18"/>
        <v>2027</v>
      </c>
      <c r="O56" s="21">
        <f t="shared" si="18"/>
        <v>2028</v>
      </c>
    </row>
    <row r="57" spans="2:15" s="22" customFormat="1">
      <c r="B57" s="21" t="s">
        <v>222</v>
      </c>
      <c r="C57" s="21"/>
      <c r="D57" s="21"/>
      <c r="E57" s="21"/>
      <c r="F57" s="112">
        <f>F65+F47-F48</f>
        <v>4370000</v>
      </c>
      <c r="G57" s="112">
        <f t="shared" ref="G57:O57" si="19">G65+G47-G48</f>
        <v>900000</v>
      </c>
      <c r="H57" s="112">
        <f t="shared" si="19"/>
        <v>0</v>
      </c>
      <c r="I57" s="112">
        <f t="shared" si="19"/>
        <v>0</v>
      </c>
      <c r="J57" s="112">
        <f t="shared" si="19"/>
        <v>0</v>
      </c>
      <c r="K57" s="112">
        <f t="shared" si="19"/>
        <v>0</v>
      </c>
      <c r="L57" s="112">
        <f t="shared" si="19"/>
        <v>0</v>
      </c>
      <c r="M57" s="112">
        <f t="shared" si="19"/>
        <v>0</v>
      </c>
      <c r="N57" s="112">
        <f t="shared" si="19"/>
        <v>0</v>
      </c>
      <c r="O57" s="112">
        <f t="shared" si="19"/>
        <v>0</v>
      </c>
    </row>
    <row r="58" spans="2:15" s="22" customFormat="1">
      <c r="B58" s="220" t="s">
        <v>406</v>
      </c>
      <c r="F58" s="23">
        <f>F45-F48+F65</f>
        <v>97533000</v>
      </c>
      <c r="G58" s="23">
        <f t="shared" ref="G58:O58" si="20">G45-G48+G65</f>
        <v>76388000</v>
      </c>
      <c r="H58" s="23">
        <f t="shared" si="20"/>
        <v>73388000</v>
      </c>
      <c r="I58" s="23">
        <f t="shared" si="20"/>
        <v>62010000</v>
      </c>
      <c r="J58" s="23">
        <f t="shared" si="20"/>
        <v>29000000</v>
      </c>
      <c r="K58" s="23">
        <f t="shared" si="20"/>
        <v>0</v>
      </c>
      <c r="L58" s="23">
        <f t="shared" si="20"/>
        <v>0</v>
      </c>
      <c r="M58" s="23">
        <f t="shared" si="20"/>
        <v>0</v>
      </c>
      <c r="N58" s="23">
        <f t="shared" si="20"/>
        <v>0</v>
      </c>
      <c r="O58" s="23">
        <f t="shared" si="20"/>
        <v>0</v>
      </c>
    </row>
    <row r="59" spans="2:15" s="34" customFormat="1">
      <c r="B59" s="318" t="s">
        <v>262</v>
      </c>
      <c r="F59" s="319">
        <f>'Fin Proj'!$B$4</f>
        <v>8375000</v>
      </c>
      <c r="G59" s="319">
        <f t="shared" ref="G59:L63" si="21">F59</f>
        <v>8375000</v>
      </c>
      <c r="H59" s="319">
        <f t="shared" si="21"/>
        <v>8375000</v>
      </c>
      <c r="I59" s="319">
        <f t="shared" si="21"/>
        <v>8375000</v>
      </c>
      <c r="J59" s="319">
        <f t="shared" si="21"/>
        <v>8375000</v>
      </c>
      <c r="K59" s="319">
        <f t="shared" si="21"/>
        <v>8375000</v>
      </c>
      <c r="L59" s="319">
        <f t="shared" si="21"/>
        <v>8375000</v>
      </c>
      <c r="M59" s="319">
        <f t="shared" ref="M59:O59" si="22">L59</f>
        <v>8375000</v>
      </c>
      <c r="N59" s="319">
        <f t="shared" si="22"/>
        <v>8375000</v>
      </c>
      <c r="O59" s="319">
        <f t="shared" si="22"/>
        <v>8375000</v>
      </c>
    </row>
    <row r="60" spans="2:15" s="316" customFormat="1">
      <c r="B60" s="4" t="s">
        <v>514</v>
      </c>
      <c r="F60" s="320">
        <v>7500000</v>
      </c>
      <c r="G60" s="320">
        <f t="shared" ref="G60:G62" si="23">F60</f>
        <v>7500000</v>
      </c>
      <c r="H60" s="320">
        <f t="shared" ref="H60:H62" si="24">G60</f>
        <v>7500000</v>
      </c>
      <c r="I60" s="320">
        <f t="shared" ref="I60:I62" si="25">H60</f>
        <v>7500000</v>
      </c>
      <c r="J60" s="320">
        <f t="shared" ref="J60:J62" si="26">I60</f>
        <v>7500000</v>
      </c>
      <c r="K60" s="320">
        <f t="shared" ref="K60:K62" si="27">J60</f>
        <v>7500000</v>
      </c>
      <c r="L60" s="320">
        <f t="shared" ref="L60:L62" si="28">K60</f>
        <v>7500000</v>
      </c>
      <c r="M60" s="320">
        <f t="shared" ref="M60:M62" si="29">L60</f>
        <v>7500000</v>
      </c>
      <c r="N60" s="320">
        <f t="shared" ref="N60:N62" si="30">M60</f>
        <v>7500000</v>
      </c>
      <c r="O60" s="320">
        <f t="shared" ref="O60:O62" si="31">N60</f>
        <v>7500000</v>
      </c>
    </row>
    <row r="61" spans="2:15" s="316" customFormat="1">
      <c r="B61" s="4" t="s">
        <v>515</v>
      </c>
      <c r="F61" s="320">
        <v>7500000</v>
      </c>
      <c r="G61" s="320">
        <f t="shared" ref="G61" si="32">F61</f>
        <v>7500000</v>
      </c>
      <c r="H61" s="320">
        <f t="shared" ref="H61" si="33">G61</f>
        <v>7500000</v>
      </c>
      <c r="I61" s="320">
        <f t="shared" ref="I61" si="34">H61</f>
        <v>7500000</v>
      </c>
      <c r="J61" s="320">
        <f t="shared" ref="J61" si="35">I61</f>
        <v>7500000</v>
      </c>
      <c r="K61" s="320">
        <f t="shared" ref="K61" si="36">J61</f>
        <v>7500000</v>
      </c>
      <c r="L61" s="320">
        <f t="shared" ref="L61" si="37">K61</f>
        <v>7500000</v>
      </c>
      <c r="M61" s="320">
        <f t="shared" ref="M61" si="38">L61</f>
        <v>7500000</v>
      </c>
      <c r="N61" s="320">
        <f t="shared" ref="N61" si="39">M61</f>
        <v>7500000</v>
      </c>
      <c r="O61" s="320">
        <f t="shared" ref="O61" si="40">N61</f>
        <v>7500000</v>
      </c>
    </row>
    <row r="62" spans="2:15" s="317" customFormat="1">
      <c r="B62" s="321" t="s">
        <v>595</v>
      </c>
      <c r="F62" s="322">
        <v>5000000</v>
      </c>
      <c r="G62" s="322">
        <f t="shared" si="23"/>
        <v>5000000</v>
      </c>
      <c r="H62" s="322">
        <f t="shared" si="24"/>
        <v>5000000</v>
      </c>
      <c r="I62" s="322">
        <f t="shared" si="25"/>
        <v>5000000</v>
      </c>
      <c r="J62" s="322">
        <f t="shared" si="26"/>
        <v>5000000</v>
      </c>
      <c r="K62" s="322">
        <f t="shared" si="27"/>
        <v>5000000</v>
      </c>
      <c r="L62" s="322">
        <f t="shared" si="28"/>
        <v>5000000</v>
      </c>
      <c r="M62" s="322">
        <f t="shared" si="29"/>
        <v>5000000</v>
      </c>
      <c r="N62" s="322">
        <f t="shared" si="30"/>
        <v>5000000</v>
      </c>
      <c r="O62" s="322">
        <f t="shared" si="31"/>
        <v>5000000</v>
      </c>
    </row>
    <row r="63" spans="2:15" s="22" customFormat="1">
      <c r="B63" s="21" t="s">
        <v>296</v>
      </c>
      <c r="F63" s="23">
        <f>'Fin Proj'!$B$6</f>
        <v>110000000</v>
      </c>
      <c r="G63" s="23">
        <f t="shared" si="21"/>
        <v>110000000</v>
      </c>
      <c r="H63" s="23">
        <f t="shared" si="21"/>
        <v>110000000</v>
      </c>
      <c r="I63" s="23">
        <f t="shared" si="21"/>
        <v>110000000</v>
      </c>
      <c r="J63" s="23">
        <f t="shared" si="21"/>
        <v>110000000</v>
      </c>
      <c r="K63" s="23">
        <f t="shared" si="21"/>
        <v>110000000</v>
      </c>
      <c r="L63" s="23">
        <f t="shared" si="21"/>
        <v>110000000</v>
      </c>
      <c r="M63" s="23">
        <f t="shared" ref="M63:O63" si="41">L63</f>
        <v>110000000</v>
      </c>
      <c r="N63" s="23">
        <f t="shared" si="41"/>
        <v>110000000</v>
      </c>
      <c r="O63" s="23">
        <f t="shared" si="41"/>
        <v>110000000</v>
      </c>
    </row>
    <row r="64" spans="2:15" s="22" customFormat="1">
      <c r="B64" s="21" t="s">
        <v>297</v>
      </c>
      <c r="F64" s="23">
        <f t="shared" ref="F64:O64" si="42">F63-SUM(F58:F62)</f>
        <v>-15908000</v>
      </c>
      <c r="G64" s="23">
        <f t="shared" si="42"/>
        <v>5237000</v>
      </c>
      <c r="H64" s="23">
        <f t="shared" si="42"/>
        <v>8237000</v>
      </c>
      <c r="I64" s="23">
        <f t="shared" si="42"/>
        <v>19615000</v>
      </c>
      <c r="J64" s="23">
        <f t="shared" si="42"/>
        <v>52625000</v>
      </c>
      <c r="K64" s="23">
        <f t="shared" si="42"/>
        <v>81625000</v>
      </c>
      <c r="L64" s="23">
        <f t="shared" si="42"/>
        <v>81625000</v>
      </c>
      <c r="M64" s="23">
        <f t="shared" si="42"/>
        <v>81625000</v>
      </c>
      <c r="N64" s="23">
        <f t="shared" si="42"/>
        <v>81625000</v>
      </c>
      <c r="O64" s="23">
        <f t="shared" si="42"/>
        <v>81625000</v>
      </c>
    </row>
    <row r="65" spans="2:18">
      <c r="B65" s="1" t="s">
        <v>123</v>
      </c>
      <c r="F65" s="10">
        <f>SUM(F68:F88)</f>
        <v>4370000</v>
      </c>
      <c r="G65" s="10">
        <f t="shared" ref="G65:O65" si="43">SUM(G68:G88)</f>
        <v>900000</v>
      </c>
      <c r="H65" s="10">
        <f t="shared" si="43"/>
        <v>0</v>
      </c>
      <c r="I65" s="10">
        <f t="shared" si="43"/>
        <v>0</v>
      </c>
      <c r="J65" s="10">
        <f t="shared" si="43"/>
        <v>0</v>
      </c>
      <c r="K65" s="10">
        <f t="shared" si="43"/>
        <v>0</v>
      </c>
      <c r="L65" s="10">
        <f t="shared" si="43"/>
        <v>0</v>
      </c>
      <c r="M65" s="10">
        <f t="shared" si="43"/>
        <v>0</v>
      </c>
      <c r="N65" s="10">
        <f t="shared" si="43"/>
        <v>0</v>
      </c>
      <c r="O65" s="10">
        <f t="shared" si="43"/>
        <v>0</v>
      </c>
      <c r="P65" s="1" t="s">
        <v>255</v>
      </c>
      <c r="Q65" s="1" t="s">
        <v>311</v>
      </c>
    </row>
    <row r="66" spans="2:18">
      <c r="B66" s="1" t="s">
        <v>267</v>
      </c>
      <c r="E66" s="85"/>
      <c r="F66" s="10">
        <v>2759068</v>
      </c>
      <c r="G66" s="10">
        <f>F66*3</f>
        <v>8277204</v>
      </c>
      <c r="H66" s="10"/>
      <c r="I66" s="10"/>
      <c r="J66" s="10"/>
      <c r="K66" s="10"/>
      <c r="L66" s="10"/>
      <c r="M66" s="10"/>
      <c r="N66" s="10"/>
      <c r="O66" s="10"/>
      <c r="P66" s="10">
        <f>SUM(F66:O66)</f>
        <v>11036272</v>
      </c>
      <c r="Q66" s="85">
        <f>IF(P66&gt;0,P66/COUNT($F66:$O66),0)</f>
        <v>5518136</v>
      </c>
    </row>
    <row r="67" spans="2:18">
      <c r="B67" s="1"/>
      <c r="E67" s="85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5"/>
    </row>
    <row r="68" spans="2:18" s="225" customFormat="1">
      <c r="B68" s="329"/>
      <c r="E68" s="226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6"/>
    </row>
    <row r="69" spans="2:18" s="225" customFormat="1">
      <c r="B69" s="329"/>
      <c r="E69" s="226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6"/>
    </row>
    <row r="70" spans="2:18" s="225" customFormat="1">
      <c r="B70" s="329" t="s">
        <v>636</v>
      </c>
      <c r="C70" s="225" t="s">
        <v>96</v>
      </c>
      <c r="D70" s="225">
        <v>29</v>
      </c>
      <c r="E70" s="226"/>
      <c r="F70" s="227">
        <v>3570000</v>
      </c>
      <c r="G70" s="227" t="s">
        <v>121</v>
      </c>
      <c r="H70" s="227" t="s">
        <v>637</v>
      </c>
      <c r="I70" s="227"/>
      <c r="J70" s="227"/>
      <c r="K70" s="227"/>
      <c r="L70" s="227"/>
      <c r="M70" s="227"/>
      <c r="N70" s="227"/>
      <c r="O70" s="227"/>
      <c r="P70" s="227"/>
      <c r="Q70" s="226"/>
    </row>
    <row r="71" spans="2:18"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>
        <f t="shared" ref="P71:P88" si="44">SUM(F71:O71)</f>
        <v>0</v>
      </c>
      <c r="Q71" s="85">
        <f t="shared" ref="Q71:Q88" si="45">IF(P71&gt;0,P71/COUNT($F71:$O71),0)</f>
        <v>0</v>
      </c>
    </row>
    <row r="72" spans="2:18" s="228" customFormat="1">
      <c r="F72" s="229"/>
      <c r="G72" s="229"/>
      <c r="H72" s="229"/>
      <c r="I72" s="229"/>
      <c r="J72" s="229"/>
      <c r="K72" s="229"/>
      <c r="L72" s="229"/>
      <c r="M72" s="229"/>
      <c r="N72" s="229"/>
      <c r="O72" s="229"/>
      <c r="P72" s="229"/>
      <c r="Q72" s="230"/>
    </row>
    <row r="73" spans="2:18" s="228" customFormat="1">
      <c r="B73" s="229"/>
      <c r="C73" s="229"/>
      <c r="E73" s="229"/>
      <c r="F73" s="229"/>
      <c r="G73" s="229"/>
      <c r="H73" s="229"/>
      <c r="I73" s="229"/>
      <c r="J73" s="229"/>
      <c r="K73" s="229"/>
      <c r="L73" s="229"/>
      <c r="M73" s="229"/>
      <c r="N73" s="229"/>
      <c r="O73" s="229"/>
      <c r="P73" s="229"/>
      <c r="Q73" s="230"/>
    </row>
    <row r="74" spans="2:18" s="228" customFormat="1">
      <c r="B74" s="229" t="s">
        <v>596</v>
      </c>
      <c r="C74" s="229" t="s">
        <v>95</v>
      </c>
      <c r="D74" s="228">
        <v>28</v>
      </c>
      <c r="E74" s="229"/>
      <c r="F74" s="229"/>
      <c r="G74" s="229"/>
      <c r="H74" s="229"/>
      <c r="I74" s="229"/>
      <c r="J74" s="229"/>
      <c r="K74" s="229"/>
      <c r="L74" s="229"/>
      <c r="M74" s="229"/>
      <c r="N74" s="229"/>
      <c r="O74" s="229"/>
      <c r="P74" s="229">
        <f t="shared" si="44"/>
        <v>0</v>
      </c>
      <c r="Q74" s="230">
        <f t="shared" si="45"/>
        <v>0</v>
      </c>
      <c r="R74" s="228" t="s">
        <v>597</v>
      </c>
    </row>
    <row r="75" spans="2:18" s="228" customFormat="1">
      <c r="B75" s="229" t="s">
        <v>516</v>
      </c>
      <c r="C75" s="229" t="s">
        <v>100</v>
      </c>
      <c r="D75" s="228">
        <v>30</v>
      </c>
      <c r="E75" s="229"/>
      <c r="F75" s="229"/>
      <c r="G75" s="229"/>
      <c r="H75" s="229"/>
      <c r="I75" s="229"/>
      <c r="J75" s="229"/>
      <c r="K75" s="229"/>
      <c r="L75" s="229"/>
      <c r="M75" s="229"/>
      <c r="N75" s="229"/>
      <c r="O75" s="229"/>
      <c r="P75" s="229">
        <f t="shared" si="44"/>
        <v>0</v>
      </c>
      <c r="Q75" s="230">
        <f t="shared" si="45"/>
        <v>0</v>
      </c>
      <c r="R75" s="228" t="s">
        <v>598</v>
      </c>
    </row>
    <row r="76" spans="2:18" s="228" customFormat="1">
      <c r="B76" s="231"/>
      <c r="C76" s="229"/>
      <c r="E76" s="229"/>
      <c r="F76" s="229"/>
      <c r="G76" s="229"/>
      <c r="H76" s="229"/>
      <c r="I76" s="229"/>
      <c r="J76" s="229"/>
      <c r="P76" s="229">
        <f t="shared" si="44"/>
        <v>0</v>
      </c>
      <c r="Q76" s="230">
        <f t="shared" si="45"/>
        <v>0</v>
      </c>
      <c r="R76" s="228" t="s">
        <v>598</v>
      </c>
    </row>
    <row r="77" spans="2:18" s="228" customFormat="1">
      <c r="B77" s="229" t="s">
        <v>602</v>
      </c>
      <c r="C77" s="229" t="s">
        <v>92</v>
      </c>
      <c r="D77" s="228">
        <v>33</v>
      </c>
      <c r="E77" s="229"/>
      <c r="F77" s="229"/>
      <c r="G77" s="229"/>
      <c r="H77" s="229"/>
      <c r="I77" s="229"/>
      <c r="J77" s="229"/>
      <c r="P77" s="229">
        <f t="shared" ref="P77" si="46">SUM(F77:O77)</f>
        <v>0</v>
      </c>
      <c r="Q77" s="230">
        <f t="shared" ref="Q77" si="47">IF(P77&gt;0,P77/COUNT($F77:$O77),0)</f>
        <v>0</v>
      </c>
      <c r="R77" s="228" t="s">
        <v>603</v>
      </c>
    </row>
    <row r="78" spans="2:18" s="228" customFormat="1">
      <c r="B78" s="229"/>
      <c r="C78" s="229"/>
      <c r="E78" s="229"/>
      <c r="F78" s="229"/>
      <c r="G78" s="229"/>
      <c r="H78" s="229"/>
      <c r="I78" s="229"/>
      <c r="J78" s="229"/>
      <c r="P78" s="229"/>
      <c r="Q78" s="230"/>
    </row>
    <row r="79" spans="2:18" s="228" customFormat="1">
      <c r="B79" s="229" t="s">
        <v>605</v>
      </c>
      <c r="C79" s="229" t="s">
        <v>98</v>
      </c>
      <c r="D79" s="228">
        <v>37</v>
      </c>
      <c r="E79" s="229"/>
      <c r="F79" s="229"/>
      <c r="G79" s="229"/>
      <c r="H79" s="229"/>
      <c r="P79" s="229">
        <f t="shared" ref="P79:P86" si="48">SUM(F79:O79)</f>
        <v>0</v>
      </c>
      <c r="Q79" s="230">
        <f t="shared" ref="Q79:Q86" si="49">IF(P79&gt;0,P79/COUNT($F79:$O79),0)</f>
        <v>0</v>
      </c>
      <c r="R79" s="228" t="s">
        <v>606</v>
      </c>
    </row>
    <row r="80" spans="2:18" s="228" customFormat="1">
      <c r="B80" s="229" t="s">
        <v>411</v>
      </c>
      <c r="C80" s="229" t="s">
        <v>94</v>
      </c>
      <c r="D80" s="228">
        <v>30</v>
      </c>
      <c r="E80" s="229"/>
      <c r="F80" s="229"/>
      <c r="G80" s="229"/>
      <c r="H80" s="229"/>
      <c r="P80" s="229">
        <f t="shared" si="48"/>
        <v>0</v>
      </c>
      <c r="Q80" s="230">
        <f t="shared" si="49"/>
        <v>0</v>
      </c>
      <c r="R80" s="228" t="s">
        <v>607</v>
      </c>
    </row>
    <row r="81" spans="2:18" s="228" customFormat="1">
      <c r="B81" s="229" t="s">
        <v>604</v>
      </c>
      <c r="C81" s="229" t="s">
        <v>96</v>
      </c>
      <c r="D81" s="228">
        <v>32</v>
      </c>
      <c r="E81" s="229"/>
      <c r="F81" s="229"/>
      <c r="G81" s="229"/>
      <c r="H81" s="229"/>
      <c r="P81" s="229"/>
      <c r="Q81" s="230"/>
    </row>
    <row r="82" spans="2:18" s="228" customFormat="1">
      <c r="B82" s="229"/>
      <c r="C82" s="229"/>
      <c r="E82" s="229"/>
      <c r="F82" s="229"/>
      <c r="G82" s="229"/>
      <c r="H82" s="229"/>
      <c r="P82" s="229"/>
      <c r="Q82" s="230"/>
    </row>
    <row r="83" spans="2:18" s="228" customFormat="1">
      <c r="B83" s="229" t="s">
        <v>608</v>
      </c>
      <c r="C83" s="229" t="s">
        <v>108</v>
      </c>
      <c r="E83" s="229"/>
      <c r="F83" s="229"/>
      <c r="G83" s="229"/>
      <c r="H83" s="229"/>
      <c r="P83" s="229">
        <f t="shared" si="48"/>
        <v>0</v>
      </c>
      <c r="Q83" s="230">
        <f t="shared" si="49"/>
        <v>0</v>
      </c>
      <c r="R83" s="228" t="s">
        <v>609</v>
      </c>
    </row>
    <row r="84" spans="2:18" s="228" customFormat="1">
      <c r="B84" s="229" t="s">
        <v>610</v>
      </c>
      <c r="C84" s="229" t="s">
        <v>108</v>
      </c>
      <c r="E84" s="229"/>
      <c r="F84" s="229"/>
      <c r="G84" s="229"/>
      <c r="H84" s="229"/>
      <c r="P84" s="229">
        <f t="shared" si="48"/>
        <v>0</v>
      </c>
      <c r="Q84" s="230">
        <f t="shared" si="49"/>
        <v>0</v>
      </c>
      <c r="R84" s="228" t="s">
        <v>611</v>
      </c>
    </row>
    <row r="85" spans="2:18" s="228" customFormat="1">
      <c r="B85" s="229" t="s">
        <v>612</v>
      </c>
      <c r="C85" s="229" t="s">
        <v>19</v>
      </c>
      <c r="E85" s="229"/>
      <c r="F85" s="229">
        <v>800000</v>
      </c>
      <c r="G85" s="229">
        <v>900000</v>
      </c>
      <c r="H85" s="229"/>
      <c r="P85" s="229">
        <f t="shared" si="48"/>
        <v>1700000</v>
      </c>
      <c r="Q85" s="230">
        <f t="shared" si="49"/>
        <v>850000</v>
      </c>
      <c r="R85" s="228" t="s">
        <v>618</v>
      </c>
    </row>
    <row r="86" spans="2:18" s="228" customFormat="1">
      <c r="B86" s="229" t="s">
        <v>613</v>
      </c>
      <c r="C86" s="229" t="s">
        <v>108</v>
      </c>
      <c r="D86" s="228">
        <v>30</v>
      </c>
      <c r="E86" s="229"/>
      <c r="F86" s="229"/>
      <c r="G86" s="229"/>
      <c r="H86" s="229"/>
      <c r="P86" s="229">
        <f t="shared" si="48"/>
        <v>0</v>
      </c>
      <c r="Q86" s="230">
        <f t="shared" si="49"/>
        <v>0</v>
      </c>
    </row>
    <row r="87" spans="2:18" s="228" customFormat="1">
      <c r="B87" s="229"/>
      <c r="C87" s="229"/>
      <c r="E87" s="229"/>
      <c r="F87" s="229"/>
      <c r="G87" s="229"/>
      <c r="H87" s="229"/>
      <c r="P87" s="229"/>
      <c r="Q87" s="230"/>
    </row>
    <row r="88" spans="2:18" s="228" customFormat="1">
      <c r="B88" s="229"/>
      <c r="C88" s="229"/>
      <c r="E88" s="229"/>
      <c r="F88" s="229"/>
      <c r="G88" s="229"/>
      <c r="H88" s="229"/>
      <c r="I88" s="229"/>
      <c r="J88" s="229"/>
      <c r="K88" s="229"/>
      <c r="L88" s="229"/>
      <c r="M88" s="229"/>
      <c r="N88" s="229"/>
      <c r="O88" s="229"/>
      <c r="P88" s="229">
        <f t="shared" si="44"/>
        <v>0</v>
      </c>
      <c r="Q88" s="230">
        <f t="shared" si="45"/>
        <v>0</v>
      </c>
    </row>
    <row r="90" spans="2:18">
      <c r="B90" t="s">
        <v>423</v>
      </c>
      <c r="F90" s="10">
        <f t="shared" ref="F90:L90" si="50">F44+F57</f>
        <v>88533000</v>
      </c>
      <c r="G90" s="10">
        <f t="shared" si="50"/>
        <v>65060000</v>
      </c>
      <c r="H90" s="10">
        <f t="shared" si="50"/>
        <v>65810000</v>
      </c>
      <c r="I90" s="10">
        <f t="shared" si="50"/>
        <v>69510000</v>
      </c>
      <c r="J90" s="10">
        <f t="shared" si="50"/>
        <v>41000000</v>
      </c>
      <c r="K90" s="10">
        <f t="shared" si="50"/>
        <v>12500000</v>
      </c>
      <c r="L90" s="10">
        <f t="shared" si="50"/>
        <v>12500000</v>
      </c>
    </row>
    <row r="92" spans="2:18" s="1" customFormat="1">
      <c r="B92" s="1" t="s">
        <v>310</v>
      </c>
      <c r="C92" s="1" t="s">
        <v>119</v>
      </c>
      <c r="D92" s="1" t="s">
        <v>312</v>
      </c>
      <c r="E92" s="1" t="s">
        <v>255</v>
      </c>
      <c r="F92" s="1">
        <f>F2</f>
        <v>2019</v>
      </c>
      <c r="G92" s="1">
        <f t="shared" ref="G92:L92" si="51">G2</f>
        <v>2020</v>
      </c>
      <c r="H92" s="1">
        <f t="shared" si="51"/>
        <v>2021</v>
      </c>
      <c r="I92" s="1">
        <f t="shared" si="51"/>
        <v>2022</v>
      </c>
      <c r="J92" s="1">
        <f t="shared" si="51"/>
        <v>2023</v>
      </c>
      <c r="K92" s="1">
        <f t="shared" si="51"/>
        <v>2024</v>
      </c>
      <c r="L92" s="1">
        <f t="shared" si="51"/>
        <v>2025</v>
      </c>
      <c r="M92" s="1">
        <f t="shared" ref="M92:O92" si="52">M2</f>
        <v>2026</v>
      </c>
      <c r="N92" s="1">
        <f t="shared" si="52"/>
        <v>2027</v>
      </c>
      <c r="O92" s="1">
        <f t="shared" si="52"/>
        <v>2028</v>
      </c>
      <c r="P92" s="1" t="s">
        <v>255</v>
      </c>
      <c r="Q92" s="1" t="s">
        <v>311</v>
      </c>
    </row>
    <row r="93" spans="2:18">
      <c r="B93" t="s">
        <v>318</v>
      </c>
      <c r="C93" t="e">
        <f>IF($B93="","",VLOOKUP($B93,$B$2:$L$42,C$1,FALSE))</f>
        <v>#N/A</v>
      </c>
      <c r="D93" t="e">
        <f>IF($B93="","",VLOOKUP($B93,$B$2:$L$42,D$1,FALSE)+COUNT(G93:O93))</f>
        <v>#N/A</v>
      </c>
      <c r="E93" s="85" t="e">
        <f>IF(D93="","",VLOOKUP($B93,$B$2:$O$42,E$1,FALSE))</f>
        <v>#N/A</v>
      </c>
      <c r="F93" s="85">
        <v>4400000</v>
      </c>
      <c r="G93" s="85">
        <f>F93*1.1</f>
        <v>4840000</v>
      </c>
      <c r="H93" s="85">
        <f>G93*1.1</f>
        <v>5324000</v>
      </c>
      <c r="I93" s="85"/>
      <c r="J93" s="85"/>
      <c r="K93" s="85"/>
      <c r="L93" s="85"/>
      <c r="M93" s="85"/>
      <c r="N93" s="85"/>
      <c r="O93" s="85"/>
      <c r="P93" s="10">
        <f>SUM(F93:O93)</f>
        <v>14564000</v>
      </c>
      <c r="Q93" s="85">
        <f>IF(P93&gt;0,P93/COUNT($F93:$O93),0)</f>
        <v>4854666.666666667</v>
      </c>
    </row>
    <row r="94" spans="2:18"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10">
        <f>SUM(F94:O94)</f>
        <v>0</v>
      </c>
      <c r="Q94" s="85">
        <f>IF(P94&gt;0,P94/COUNT($F94:$O94),0)</f>
        <v>0</v>
      </c>
    </row>
    <row r="95" spans="2:18">
      <c r="B9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10">
        <f>SUM(F95:O95)</f>
        <v>0</v>
      </c>
      <c r="Q95" s="85">
        <f>IF(P95&gt;0,P95/COUNT($F95:$O95),0)</f>
        <v>0</v>
      </c>
    </row>
    <row r="96" spans="2:18"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10">
        <f>SUM(F96:O96)</f>
        <v>0</v>
      </c>
      <c r="Q96" s="85">
        <f>IF(P96&gt;0,P96/COUNT($F96:$O96),0)</f>
        <v>0</v>
      </c>
    </row>
    <row r="97" spans="5:17">
      <c r="E97" s="85"/>
      <c r="F97" s="85"/>
      <c r="G97" s="85"/>
      <c r="H97" s="85"/>
      <c r="I97" s="111"/>
      <c r="J97" s="111"/>
      <c r="K97" s="111"/>
      <c r="L97" s="111" t="str">
        <f t="shared" ref="L97:O97" si="53">IF(K96="","",K96*$P96)</f>
        <v/>
      </c>
      <c r="M97" s="111" t="str">
        <f t="shared" si="53"/>
        <v/>
      </c>
      <c r="N97" s="111" t="str">
        <f t="shared" si="53"/>
        <v/>
      </c>
      <c r="O97" s="111" t="str">
        <f t="shared" si="53"/>
        <v/>
      </c>
      <c r="P97" s="10">
        <f>SUM(F97:O97)</f>
        <v>0</v>
      </c>
      <c r="Q97" s="85">
        <f>IF(P97&gt;0,P97/COUNT($F97:$O97),0)</f>
        <v>0</v>
      </c>
    </row>
  </sheetData>
  <mergeCells count="4">
    <mergeCell ref="B44:E44"/>
    <mergeCell ref="B42:E42"/>
    <mergeCell ref="B41:E41"/>
    <mergeCell ref="B43:E43"/>
  </mergeCells>
  <hyperlinks>
    <hyperlink ref="B3" r:id="rId1" display="http://wikipeba.com/statslab13/payroll.php?player=4264"/>
    <hyperlink ref="B4" r:id="rId2" display="http://wikipeba.com/statslab13/payroll.php?player=4180"/>
    <hyperlink ref="B5" r:id="rId3" display="http://wikipeba.com/statslab13/payroll.php?player=10036"/>
    <hyperlink ref="B7" r:id="rId4" display="http://wikipeba.com/statslab13/payroll.php?player=9348"/>
    <hyperlink ref="B8" r:id="rId5" display="http://wikipeba.com/statslab13/payroll.php?player=10569"/>
    <hyperlink ref="B9" r:id="rId6" display="http://wikipeba.com/statslab13/payroll.php?player=3560"/>
    <hyperlink ref="B10" r:id="rId7" display="http://wikipeba.com/statslab13/payroll.php?player=11843"/>
    <hyperlink ref="B11" r:id="rId8" display="http://wikipeba.com/statslab13/payroll.php?player=10630"/>
    <hyperlink ref="B12" r:id="rId9" display="http://wikipeba.com/statslab13/payroll.php?player=10344"/>
    <hyperlink ref="B13" r:id="rId10" display="http://wikipeba.com/statslab13/payroll.php?player=3496"/>
    <hyperlink ref="B14" r:id="rId11" display="http://wikipeba.com/statslab13/payroll.php?player=9799"/>
    <hyperlink ref="B15" r:id="rId12" display="http://wikipeba.com/statslab13/payroll.php?player=4650"/>
    <hyperlink ref="B16" r:id="rId13" display="http://wikipeba.com/statslab13/payroll.php?player=486"/>
    <hyperlink ref="B17" r:id="rId14" display="http://wikipeba.com/statslab13/payroll.php?player=9906"/>
    <hyperlink ref="B18" r:id="rId15" display="http://wikipeba.com/statslab13/payroll.php?player=7563"/>
    <hyperlink ref="B19" r:id="rId16" display="http://wikipeba.com/statslab13/payroll.php?player=11101"/>
    <hyperlink ref="B20" r:id="rId17" display="http://wikipeba.com/statslab13/payroll.php?player=10647"/>
    <hyperlink ref="B21" r:id="rId18" display="http://wikipeba.com/statslab13/payroll.php?player=11204"/>
    <hyperlink ref="B22" r:id="rId19" display="http://wikipeba.com/statslab13/payroll.php?player=1148"/>
    <hyperlink ref="B23" r:id="rId20" display="http://wikipeba.com/statslab13/payroll.php?player=12368"/>
    <hyperlink ref="B24" r:id="rId21" display="http://wikipeba.com/statslab13/payroll.php?player=12148"/>
    <hyperlink ref="B25" r:id="rId22" display="http://wikipeba.com/statslab13/payroll.php?player=11871"/>
    <hyperlink ref="B26" r:id="rId23" display="http://wikipeba.com/statslab13/payroll.php?player=1433"/>
    <hyperlink ref="B27" r:id="rId24" display="http://wikipeba.com/statslab13/payroll.php?player=10592"/>
    <hyperlink ref="B28" r:id="rId25" display="http://wikipeba.com/statslab13/payroll.php?player=9953"/>
    <hyperlink ref="B29" r:id="rId26" display="http://wikipeba.com/statslab13/payroll.php?player=39"/>
    <hyperlink ref="B30" r:id="rId27" display="http://wikipeba.com/statslab13/payroll.php?player=3110"/>
    <hyperlink ref="B31" r:id="rId28" display="http://wikipeba.com/statslab13/payroll.php?player=10318"/>
    <hyperlink ref="B32" r:id="rId29" display="http://wikipeba.com/statslab13/payroll.php?player=10363"/>
    <hyperlink ref="B33" r:id="rId30" display="http://wikipeba.com/statslab13/payroll.php?player=2332"/>
    <hyperlink ref="B34" r:id="rId31" display="http://wikipeba.com/statslab13/payroll.php?player=2142"/>
    <hyperlink ref="B6" r:id="rId32" display="http://wikipeba.com/statslab13/payroll.php?player=3947"/>
  </hyperlinks>
  <pageMargins left="0.7" right="0.7" top="0.75" bottom="0.75" header="0.3" footer="0.3"/>
  <pageSetup orientation="portrait" r:id="rId33"/>
</worksheet>
</file>

<file path=xl/worksheets/sheet5.xml><?xml version="1.0" encoding="utf-8"?>
<worksheet xmlns="http://schemas.openxmlformats.org/spreadsheetml/2006/main" xmlns:r="http://schemas.openxmlformats.org/officeDocument/2006/relationships">
  <sheetPr published="0" codeName="Sheet4">
    <tabColor theme="9"/>
  </sheetPr>
  <dimension ref="A1:L126"/>
  <sheetViews>
    <sheetView topLeftCell="A7" workbookViewId="0">
      <selection activeCell="A3" sqref="A3"/>
    </sheetView>
  </sheetViews>
  <sheetFormatPr defaultRowHeight="15"/>
  <cols>
    <col min="1" max="1" width="24.5703125" bestFit="1" customWidth="1"/>
    <col min="2" max="2" width="14.28515625" bestFit="1" customWidth="1"/>
    <col min="3" max="3" width="20.5703125" bestFit="1" customWidth="1"/>
    <col min="4" max="4" width="14.28515625" bestFit="1" customWidth="1"/>
    <col min="5" max="5" width="20.5703125" bestFit="1" customWidth="1"/>
    <col min="6" max="6" width="14.28515625" bestFit="1" customWidth="1"/>
    <col min="7" max="7" width="20.5703125" bestFit="1" customWidth="1"/>
    <col min="8" max="8" width="14.28515625" bestFit="1" customWidth="1"/>
    <col min="9" max="9" width="26.42578125" customWidth="1"/>
    <col min="10" max="10" width="14.28515625" bestFit="1" customWidth="1"/>
    <col min="11" max="11" width="9" bestFit="1" customWidth="1"/>
    <col min="12" max="12" width="12.5703125" bestFit="1" customWidth="1"/>
  </cols>
  <sheetData>
    <row r="1" spans="1:12" ht="15.75" thickBot="1"/>
    <row r="2" spans="1:12" ht="15.75" customHeight="1" thickBot="1">
      <c r="A2" s="347" t="s">
        <v>260</v>
      </c>
      <c r="B2" s="348"/>
      <c r="C2" s="349" t="s">
        <v>269</v>
      </c>
      <c r="D2" s="350"/>
      <c r="E2" s="349" t="s">
        <v>281</v>
      </c>
      <c r="F2" s="350"/>
      <c r="G2" s="349" t="s">
        <v>294</v>
      </c>
      <c r="H2" s="350"/>
      <c r="I2" s="166" t="s">
        <v>332</v>
      </c>
      <c r="J2" s="180" t="s">
        <v>333</v>
      </c>
      <c r="K2" s="167" t="s">
        <v>284</v>
      </c>
    </row>
    <row r="3" spans="1:12">
      <c r="A3" s="303" t="s">
        <v>261</v>
      </c>
      <c r="B3" s="304" t="s">
        <v>340</v>
      </c>
      <c r="C3" s="303" t="s">
        <v>270</v>
      </c>
      <c r="D3" s="304">
        <v>0</v>
      </c>
      <c r="E3" s="303" t="s">
        <v>270</v>
      </c>
      <c r="F3" s="305">
        <v>3440809</v>
      </c>
      <c r="G3" s="145" t="s">
        <v>270</v>
      </c>
      <c r="H3" s="149">
        <f>D19</f>
        <v>0</v>
      </c>
      <c r="I3" s="145" t="s">
        <v>270</v>
      </c>
      <c r="J3" s="168">
        <f>H3-F3</f>
        <v>-3440809</v>
      </c>
      <c r="K3" s="176">
        <f>H3/F3</f>
        <v>0</v>
      </c>
    </row>
    <row r="4" spans="1:12">
      <c r="A4" s="303" t="s">
        <v>262</v>
      </c>
      <c r="B4" s="306">
        <v>8375000</v>
      </c>
      <c r="C4" s="303" t="s">
        <v>271</v>
      </c>
      <c r="D4" s="304">
        <v>0</v>
      </c>
      <c r="E4" s="303" t="s">
        <v>271</v>
      </c>
      <c r="F4" s="305">
        <v>42479</v>
      </c>
      <c r="G4" s="143" t="s">
        <v>271</v>
      </c>
      <c r="H4" s="150">
        <f>D4</f>
        <v>0</v>
      </c>
      <c r="I4" s="143" t="s">
        <v>271</v>
      </c>
      <c r="J4" s="169">
        <f>D4-F4</f>
        <v>-42479</v>
      </c>
      <c r="K4" s="177">
        <f>D4/F4</f>
        <v>0</v>
      </c>
    </row>
    <row r="5" spans="1:12">
      <c r="A5" s="303" t="s">
        <v>263</v>
      </c>
      <c r="B5" s="306">
        <v>84163000</v>
      </c>
      <c r="C5" s="303"/>
      <c r="D5" s="304"/>
      <c r="E5" s="303"/>
      <c r="F5" s="304"/>
      <c r="G5" s="145"/>
      <c r="H5" s="148"/>
      <c r="I5" s="145"/>
      <c r="J5" s="170"/>
      <c r="K5" s="148"/>
    </row>
    <row r="6" spans="1:12">
      <c r="A6" s="303" t="s">
        <v>264</v>
      </c>
      <c r="B6" s="306">
        <v>110000000</v>
      </c>
      <c r="C6" s="303" t="s">
        <v>272</v>
      </c>
      <c r="D6" s="306">
        <v>0</v>
      </c>
      <c r="E6" s="303" t="s">
        <v>272</v>
      </c>
      <c r="F6" s="306">
        <v>83871932</v>
      </c>
      <c r="G6" s="143" t="s">
        <v>272</v>
      </c>
      <c r="H6" s="147" t="e">
        <f>D20</f>
        <v>#DIV/0!</v>
      </c>
      <c r="I6" s="143" t="s">
        <v>272</v>
      </c>
      <c r="J6" s="171" t="e">
        <f>H6-F6</f>
        <v>#DIV/0!</v>
      </c>
      <c r="K6" s="177" t="e">
        <f>H6/F6</f>
        <v>#DIV/0!</v>
      </c>
    </row>
    <row r="7" spans="1:12">
      <c r="A7" s="303" t="s">
        <v>265</v>
      </c>
      <c r="B7" s="307">
        <v>-12538000</v>
      </c>
      <c r="C7" s="303" t="s">
        <v>273</v>
      </c>
      <c r="D7" s="306">
        <v>0</v>
      </c>
      <c r="E7" s="303" t="s">
        <v>273</v>
      </c>
      <c r="F7" s="306">
        <v>4746891</v>
      </c>
      <c r="G7" s="145" t="s">
        <v>273</v>
      </c>
      <c r="H7" s="146">
        <v>0</v>
      </c>
      <c r="I7" s="145" t="s">
        <v>273</v>
      </c>
      <c r="J7" s="172">
        <f t="shared" ref="J7:J8" si="0">D7-F7</f>
        <v>-4746891</v>
      </c>
      <c r="K7" s="176">
        <f t="shared" ref="K7" si="1">D7/F7</f>
        <v>0</v>
      </c>
    </row>
    <row r="8" spans="1:12">
      <c r="A8" s="303"/>
      <c r="B8" s="304"/>
      <c r="C8" s="303" t="s">
        <v>274</v>
      </c>
      <c r="D8" s="306">
        <v>33500000</v>
      </c>
      <c r="E8" s="303" t="s">
        <v>274</v>
      </c>
      <c r="F8" s="306">
        <v>33500000</v>
      </c>
      <c r="G8" s="143" t="s">
        <v>274</v>
      </c>
      <c r="H8" s="147">
        <f>D8</f>
        <v>33500000</v>
      </c>
      <c r="I8" s="143" t="s">
        <v>274</v>
      </c>
      <c r="J8" s="171">
        <f t="shared" si="0"/>
        <v>0</v>
      </c>
      <c r="K8" s="177">
        <f>H8/F8</f>
        <v>1</v>
      </c>
    </row>
    <row r="9" spans="1:12" ht="25.5">
      <c r="A9" s="303" t="s">
        <v>266</v>
      </c>
      <c r="B9" s="306">
        <v>2714935</v>
      </c>
      <c r="C9" s="303" t="s">
        <v>275</v>
      </c>
      <c r="D9" s="306">
        <v>0</v>
      </c>
      <c r="E9" s="303" t="s">
        <v>275</v>
      </c>
      <c r="F9" s="306">
        <v>9121966</v>
      </c>
      <c r="G9" s="145" t="s">
        <v>275</v>
      </c>
      <c r="H9" s="146" t="e">
        <f>D22</f>
        <v>#DIV/0!</v>
      </c>
      <c r="I9" s="145" t="s">
        <v>275</v>
      </c>
      <c r="J9" s="172" t="e">
        <f>H9-F9</f>
        <v>#DIV/0!</v>
      </c>
      <c r="K9" s="176" t="e">
        <f>H9/F9</f>
        <v>#DIV/0!</v>
      </c>
      <c r="L9" s="10" t="e">
        <f>SUM(J6:J9)</f>
        <v>#DIV/0!</v>
      </c>
    </row>
    <row r="10" spans="1:12">
      <c r="A10" s="303" t="s">
        <v>267</v>
      </c>
      <c r="B10" s="306">
        <v>2803503</v>
      </c>
      <c r="C10" s="303" t="s">
        <v>276</v>
      </c>
      <c r="D10" s="306">
        <v>116772</v>
      </c>
      <c r="E10" s="303" t="s">
        <v>276</v>
      </c>
      <c r="F10" s="306">
        <v>11357922</v>
      </c>
      <c r="G10" s="143" t="s">
        <v>276</v>
      </c>
      <c r="H10" s="147"/>
      <c r="I10" s="143" t="s">
        <v>276</v>
      </c>
      <c r="J10" s="171">
        <f t="shared" ref="J10" si="2">D10-F10</f>
        <v>-11241150</v>
      </c>
      <c r="K10" s="177">
        <f t="shared" ref="K10" si="3">D10/F10</f>
        <v>1.0281105998086622E-2</v>
      </c>
    </row>
    <row r="11" spans="1:12">
      <c r="A11" s="303" t="s">
        <v>268</v>
      </c>
      <c r="B11" s="304"/>
      <c r="C11" s="303" t="s">
        <v>277</v>
      </c>
      <c r="D11" s="311">
        <v>25000000</v>
      </c>
      <c r="E11" s="303" t="s">
        <v>277</v>
      </c>
      <c r="F11" s="307">
        <v>-1400066</v>
      </c>
      <c r="G11" s="145" t="s">
        <v>277</v>
      </c>
      <c r="H11" s="151">
        <f>D11</f>
        <v>25000000</v>
      </c>
      <c r="I11" s="145" t="s">
        <v>277</v>
      </c>
      <c r="J11" s="173">
        <f>D11-F11</f>
        <v>26400066</v>
      </c>
      <c r="K11" s="178">
        <f>D11/F11</f>
        <v>-17.856301060092882</v>
      </c>
    </row>
    <row r="12" spans="1:12">
      <c r="A12" s="312" t="s">
        <v>628</v>
      </c>
      <c r="B12" s="306">
        <v>21000000</v>
      </c>
      <c r="C12" s="303"/>
      <c r="D12" s="304"/>
      <c r="E12" s="303"/>
      <c r="F12" s="304"/>
      <c r="G12" s="143"/>
      <c r="H12" s="144"/>
      <c r="I12" s="143"/>
      <c r="J12" s="174"/>
      <c r="K12" s="144"/>
    </row>
    <row r="13" spans="1:12">
      <c r="A13" s="312" t="s">
        <v>629</v>
      </c>
      <c r="B13" s="306">
        <v>13000000</v>
      </c>
      <c r="C13" s="303" t="s">
        <v>278</v>
      </c>
      <c r="D13" s="306">
        <v>0</v>
      </c>
      <c r="E13" s="303" t="s">
        <v>278</v>
      </c>
      <c r="F13" s="306">
        <v>74098873</v>
      </c>
      <c r="G13" s="145" t="s">
        <v>278</v>
      </c>
      <c r="H13" s="146">
        <f>D25</f>
        <v>84163000</v>
      </c>
      <c r="I13" s="145" t="s">
        <v>278</v>
      </c>
      <c r="J13" s="172">
        <f>H13-F13</f>
        <v>10064127</v>
      </c>
      <c r="K13" s="176">
        <f>H13/F13</f>
        <v>1.135820243851752</v>
      </c>
    </row>
    <row r="14" spans="1:12">
      <c r="A14" s="312" t="s">
        <v>630</v>
      </c>
      <c r="B14" s="306">
        <v>9200000</v>
      </c>
      <c r="C14" s="303" t="s">
        <v>279</v>
      </c>
      <c r="D14" s="306">
        <v>0</v>
      </c>
      <c r="E14" s="303" t="s">
        <v>279</v>
      </c>
      <c r="F14" s="306">
        <v>6643338</v>
      </c>
      <c r="G14" s="143" t="s">
        <v>279</v>
      </c>
      <c r="H14" s="147">
        <f>D26</f>
        <v>8375000</v>
      </c>
      <c r="I14" s="143" t="s">
        <v>279</v>
      </c>
      <c r="J14" s="171">
        <f>H14-F14</f>
        <v>1731662</v>
      </c>
      <c r="K14" s="177">
        <f>H14/F14</f>
        <v>1.2606614325509256</v>
      </c>
    </row>
    <row r="15" spans="1:12">
      <c r="A15" s="312" t="s">
        <v>631</v>
      </c>
      <c r="B15" s="306">
        <v>7500000</v>
      </c>
      <c r="C15" s="303"/>
      <c r="D15" s="304"/>
      <c r="E15" s="303"/>
      <c r="F15" s="304"/>
      <c r="G15" s="145"/>
      <c r="H15" s="148"/>
      <c r="I15" s="145"/>
      <c r="J15" s="170"/>
      <c r="K15" s="148"/>
    </row>
    <row r="16" spans="1:12" ht="15.75" thickBot="1">
      <c r="A16" s="312" t="s">
        <v>632</v>
      </c>
      <c r="B16" s="306">
        <v>6875000</v>
      </c>
      <c r="C16" s="303" t="s">
        <v>280</v>
      </c>
      <c r="D16" s="311">
        <v>42250000</v>
      </c>
      <c r="E16" s="303" t="s">
        <v>280</v>
      </c>
      <c r="F16" s="311">
        <v>38158512</v>
      </c>
      <c r="G16" s="152" t="s">
        <v>280</v>
      </c>
      <c r="H16" s="153" t="e">
        <f>SUM(H6:H11)-SUM(H13:H14)</f>
        <v>#DIV/0!</v>
      </c>
      <c r="I16" s="152" t="s">
        <v>280</v>
      </c>
      <c r="J16" s="175" t="e">
        <f>H16-F16</f>
        <v>#DIV/0!</v>
      </c>
      <c r="K16" s="179" t="e">
        <f>H16/F16</f>
        <v>#DIV/0!</v>
      </c>
    </row>
    <row r="17" spans="1:11" ht="15.75" thickBot="1">
      <c r="A17" s="184"/>
      <c r="B17" s="159">
        <v>162</v>
      </c>
      <c r="C17" s="163" t="s">
        <v>301</v>
      </c>
      <c r="D17" s="187" t="e">
        <f>D6/D3</f>
        <v>#DIV/0!</v>
      </c>
      <c r="E17" s="163" t="s">
        <v>301</v>
      </c>
      <c r="F17" s="187">
        <f>F6/F3</f>
        <v>24.375643053712079</v>
      </c>
      <c r="G17" s="186" t="s">
        <v>301</v>
      </c>
      <c r="H17" s="187">
        <v>21</v>
      </c>
      <c r="I17" s="145" t="str">
        <f>C17</f>
        <v>Avg Ticket Income</v>
      </c>
      <c r="J17" s="198" t="e">
        <f>D17-F17</f>
        <v>#DIV/0!</v>
      </c>
      <c r="K17" s="176" t="e">
        <f>D17/F17</f>
        <v>#DIV/0!</v>
      </c>
    </row>
    <row r="18" spans="1:11">
      <c r="A18" s="162" t="s">
        <v>282</v>
      </c>
      <c r="B18" s="194">
        <v>0</v>
      </c>
      <c r="C18" s="143" t="s">
        <v>307</v>
      </c>
      <c r="D18" s="188">
        <f>B17/2-B21-B22</f>
        <v>81</v>
      </c>
      <c r="E18" s="143"/>
      <c r="F18" s="188"/>
      <c r="G18" s="157" t="s">
        <v>307</v>
      </c>
      <c r="H18" s="188">
        <v>81</v>
      </c>
      <c r="I18" s="143"/>
      <c r="J18" s="171"/>
      <c r="K18" s="177"/>
    </row>
    <row r="19" spans="1:11" ht="15.75" thickBot="1">
      <c r="A19" s="162" t="s">
        <v>283</v>
      </c>
      <c r="B19" s="195">
        <v>0</v>
      </c>
      <c r="C19" s="145" t="s">
        <v>302</v>
      </c>
      <c r="D19" s="189">
        <f>D3+D4*D18</f>
        <v>0</v>
      </c>
      <c r="E19" s="145" t="s">
        <v>302</v>
      </c>
      <c r="F19" s="189">
        <f>F3+F4*F18</f>
        <v>3440809</v>
      </c>
      <c r="G19" s="156" t="s">
        <v>302</v>
      </c>
      <c r="H19" s="189">
        <v>2300000</v>
      </c>
      <c r="I19" s="145" t="str">
        <f>C19</f>
        <v>Est. Attendance</v>
      </c>
      <c r="J19" s="197">
        <f>D19-F19</f>
        <v>-3440809</v>
      </c>
      <c r="K19" s="176">
        <f>D19/F19</f>
        <v>0</v>
      </c>
    </row>
    <row r="20" spans="1:11" ht="15.75" thickBot="1">
      <c r="A20" s="162" t="s">
        <v>284</v>
      </c>
      <c r="B20" s="161" t="e">
        <f>B18/(B18+B19)</f>
        <v>#DIV/0!</v>
      </c>
      <c r="C20" s="143" t="s">
        <v>303</v>
      </c>
      <c r="D20" s="190" t="e">
        <f>D6+D4*D17*D18</f>
        <v>#DIV/0!</v>
      </c>
      <c r="E20" s="143" t="s">
        <v>303</v>
      </c>
      <c r="F20" s="190">
        <f>F6+F4*F17*F18</f>
        <v>83871932</v>
      </c>
      <c r="G20" s="157" t="s">
        <v>303</v>
      </c>
      <c r="H20" s="190">
        <v>50000000</v>
      </c>
      <c r="I20" s="143" t="str">
        <f t="shared" ref="I20:I28" si="4">C20</f>
        <v>Proj. Gate Rev</v>
      </c>
      <c r="J20" s="171" t="e">
        <f t="shared" ref="J20:J28" si="5">D20-F20</f>
        <v>#DIV/0!</v>
      </c>
      <c r="K20" s="177" t="e">
        <f t="shared" ref="K20:K28" si="6">D20/F20</f>
        <v>#DIV/0!</v>
      </c>
    </row>
    <row r="21" spans="1:11">
      <c r="A21" s="162" t="s">
        <v>285</v>
      </c>
      <c r="B21" s="194">
        <v>0</v>
      </c>
      <c r="C21" s="145" t="s">
        <v>304</v>
      </c>
      <c r="D21" s="191" t="e">
        <f>D9/D3</f>
        <v>#DIV/0!</v>
      </c>
      <c r="E21" s="145" t="s">
        <v>304</v>
      </c>
      <c r="F21" s="191">
        <f>F9/F3</f>
        <v>2.6511108288777434</v>
      </c>
      <c r="G21" s="156" t="s">
        <v>304</v>
      </c>
      <c r="H21" s="191">
        <v>3</v>
      </c>
      <c r="I21" s="145" t="str">
        <f t="shared" si="4"/>
        <v>Merch Per Att.</v>
      </c>
      <c r="J21" s="198" t="e">
        <f t="shared" si="5"/>
        <v>#DIV/0!</v>
      </c>
      <c r="K21" s="176" t="e">
        <f t="shared" si="6"/>
        <v>#DIV/0!</v>
      </c>
    </row>
    <row r="22" spans="1:11" ht="15.75" thickBot="1">
      <c r="A22" s="162" t="s">
        <v>286</v>
      </c>
      <c r="B22" s="195">
        <v>0</v>
      </c>
      <c r="C22" s="143" t="s">
        <v>305</v>
      </c>
      <c r="D22" s="190" t="e">
        <f>D19*D21</f>
        <v>#DIV/0!</v>
      </c>
      <c r="E22" s="143" t="s">
        <v>305</v>
      </c>
      <c r="F22" s="190">
        <f>F19*F21</f>
        <v>9121966</v>
      </c>
      <c r="G22" s="157" t="s">
        <v>305</v>
      </c>
      <c r="H22" s="190">
        <v>25868622.177973688</v>
      </c>
      <c r="I22" s="143" t="str">
        <f t="shared" si="4"/>
        <v>Proj. Merch</v>
      </c>
      <c r="J22" s="171" t="e">
        <f t="shared" si="5"/>
        <v>#DIV/0!</v>
      </c>
      <c r="K22" s="177" t="e">
        <f t="shared" si="6"/>
        <v>#DIV/0!</v>
      </c>
    </row>
    <row r="23" spans="1:11">
      <c r="A23" s="162" t="s">
        <v>287</v>
      </c>
      <c r="B23" s="161" t="e">
        <f>B21/(B21+B22)</f>
        <v>#DIV/0!</v>
      </c>
      <c r="C23" s="145" t="s">
        <v>306</v>
      </c>
      <c r="D23" s="190" t="e">
        <f>D8+D20+D22</f>
        <v>#DIV/0!</v>
      </c>
      <c r="E23" s="145" t="s">
        <v>306</v>
      </c>
      <c r="F23" s="190">
        <f>F8+F20+F22</f>
        <v>126493898</v>
      </c>
      <c r="G23" s="156" t="s">
        <v>306</v>
      </c>
      <c r="H23" s="190">
        <v>101606896.17797369</v>
      </c>
      <c r="I23" s="145" t="str">
        <f t="shared" si="4"/>
        <v>Proj. Rev.</v>
      </c>
      <c r="J23" s="172" t="e">
        <f t="shared" si="5"/>
        <v>#DIV/0!</v>
      </c>
      <c r="K23" s="176" t="e">
        <f t="shared" si="6"/>
        <v>#DIV/0!</v>
      </c>
    </row>
    <row r="24" spans="1:11">
      <c r="A24" s="162" t="s">
        <v>288</v>
      </c>
      <c r="B24" s="160">
        <f>B18-B21</f>
        <v>0</v>
      </c>
      <c r="C24" s="192" t="s">
        <v>308</v>
      </c>
      <c r="D24" s="190" t="e">
        <f>D23-F9-F8-F6-F7</f>
        <v>#DIV/0!</v>
      </c>
      <c r="E24" s="192"/>
      <c r="F24" s="190"/>
      <c r="G24" s="158" t="s">
        <v>308</v>
      </c>
      <c r="H24" s="190">
        <v>177950.17797368765</v>
      </c>
      <c r="I24" s="143" t="str">
        <f t="shared" si="4"/>
        <v>+/- Improvement</v>
      </c>
      <c r="J24" s="171" t="e">
        <f t="shared" si="5"/>
        <v>#DIV/0!</v>
      </c>
      <c r="K24" s="177" t="e">
        <f t="shared" si="6"/>
        <v>#DIV/0!</v>
      </c>
    </row>
    <row r="25" spans="1:11">
      <c r="A25" s="162" t="s">
        <v>289</v>
      </c>
      <c r="B25" s="160">
        <f>B19-B22</f>
        <v>0</v>
      </c>
      <c r="C25" s="145" t="s">
        <v>321</v>
      </c>
      <c r="D25" s="190">
        <f>$B$5/$B$17*B27+D13</f>
        <v>84163000</v>
      </c>
      <c r="E25" s="145" t="s">
        <v>321</v>
      </c>
      <c r="F25" s="190">
        <f>F13</f>
        <v>74098873</v>
      </c>
      <c r="G25" s="156" t="s">
        <v>321</v>
      </c>
      <c r="H25" s="190">
        <v>106396953.25925925</v>
      </c>
      <c r="I25" s="145" t="str">
        <f t="shared" si="4"/>
        <v>Est. Player Exp</v>
      </c>
      <c r="J25" s="172">
        <f t="shared" si="5"/>
        <v>10064127</v>
      </c>
      <c r="K25" s="176">
        <f t="shared" si="6"/>
        <v>1.135820243851752</v>
      </c>
    </row>
    <row r="26" spans="1:11">
      <c r="A26" s="162" t="s">
        <v>290</v>
      </c>
      <c r="B26" s="161" t="e">
        <f>B24/(B24+B25)</f>
        <v>#DIV/0!</v>
      </c>
      <c r="C26" s="143" t="s">
        <v>322</v>
      </c>
      <c r="D26" s="190">
        <f>B4/B17*B27+D14</f>
        <v>8375000</v>
      </c>
      <c r="E26" s="143" t="s">
        <v>322</v>
      </c>
      <c r="F26" s="190">
        <f>F14</f>
        <v>6643338</v>
      </c>
      <c r="G26" s="157" t="s">
        <v>322</v>
      </c>
      <c r="H26" s="190">
        <v>6429973.1481481474</v>
      </c>
      <c r="I26" s="143" t="str">
        <f t="shared" si="4"/>
        <v>Est. Staff Exp</v>
      </c>
      <c r="J26" s="171">
        <f t="shared" si="5"/>
        <v>1731662</v>
      </c>
      <c r="K26" s="177">
        <f t="shared" si="6"/>
        <v>1.2606614325509256</v>
      </c>
    </row>
    <row r="27" spans="1:11">
      <c r="A27" s="162" t="s">
        <v>291</v>
      </c>
      <c r="B27" s="160">
        <f>B17-B18-B19</f>
        <v>162</v>
      </c>
      <c r="C27" s="145" t="s">
        <v>323</v>
      </c>
      <c r="D27" s="190" t="e">
        <f>D23</f>
        <v>#DIV/0!</v>
      </c>
      <c r="E27" s="145" t="s">
        <v>323</v>
      </c>
      <c r="F27" s="190">
        <f>F23</f>
        <v>126493898</v>
      </c>
      <c r="G27" s="156" t="s">
        <v>323</v>
      </c>
      <c r="H27" s="190">
        <v>101606896.17797369</v>
      </c>
      <c r="I27" s="145" t="str">
        <f t="shared" si="4"/>
        <v>Est. Income</v>
      </c>
      <c r="J27" s="172" t="e">
        <f t="shared" si="5"/>
        <v>#DIV/0!</v>
      </c>
      <c r="K27" s="176" t="e">
        <f t="shared" si="6"/>
        <v>#DIV/0!</v>
      </c>
    </row>
    <row r="28" spans="1:11">
      <c r="A28" s="162" t="s">
        <v>292</v>
      </c>
      <c r="B28" s="160">
        <f>B17/2-B21-B22</f>
        <v>81</v>
      </c>
      <c r="C28" s="143" t="s">
        <v>324</v>
      </c>
      <c r="D28" s="190">
        <f>D25+D26</f>
        <v>92538000</v>
      </c>
      <c r="E28" s="143" t="s">
        <v>324</v>
      </c>
      <c r="F28" s="190">
        <f>F25+F26</f>
        <v>80742211</v>
      </c>
      <c r="G28" s="157" t="s">
        <v>324</v>
      </c>
      <c r="H28" s="190">
        <v>112826926.4074074</v>
      </c>
      <c r="I28" s="143" t="str">
        <f t="shared" si="4"/>
        <v>Est. Loss</v>
      </c>
      <c r="J28" s="171">
        <f t="shared" si="5"/>
        <v>11795789</v>
      </c>
      <c r="K28" s="177">
        <f t="shared" si="6"/>
        <v>1.1460919741224327</v>
      </c>
    </row>
    <row r="29" spans="1:11">
      <c r="A29" s="162" t="s">
        <v>293</v>
      </c>
      <c r="B29" s="160">
        <f>B27-B28</f>
        <v>81</v>
      </c>
      <c r="C29" s="145" t="s">
        <v>342</v>
      </c>
      <c r="D29" s="190">
        <f>B6-D28</f>
        <v>17462000</v>
      </c>
      <c r="E29" s="145" t="s">
        <v>342</v>
      </c>
      <c r="F29" s="190">
        <f>B6-F28</f>
        <v>29257789</v>
      </c>
      <c r="G29" s="156"/>
      <c r="H29" s="190">
        <v>-21166926.407407403</v>
      </c>
      <c r="I29" s="145" t="str">
        <f t="shared" ref="I29:I31" si="7">C29</f>
        <v>Est. Budget Diff</v>
      </c>
      <c r="J29" s="172">
        <f t="shared" ref="J29:J30" si="8">D29-F29</f>
        <v>-11795789</v>
      </c>
      <c r="K29" s="176">
        <f t="shared" ref="K29:K30" si="9">D29/F29</f>
        <v>0.59683252210206317</v>
      </c>
    </row>
    <row r="30" spans="1:11" ht="15.75" thickBot="1">
      <c r="A30" s="185" t="s">
        <v>380</v>
      </c>
      <c r="B30" s="218">
        <f>SUM(B21:B22)/SUM(B21:B22,B28)</f>
        <v>0</v>
      </c>
      <c r="C30" s="152" t="s">
        <v>325</v>
      </c>
      <c r="D30" s="193" t="e">
        <f>D27-D28</f>
        <v>#DIV/0!</v>
      </c>
      <c r="E30" s="152" t="s">
        <v>325</v>
      </c>
      <c r="F30" s="193">
        <f>F27-F28</f>
        <v>45751687</v>
      </c>
      <c r="G30" s="196" t="s">
        <v>325</v>
      </c>
      <c r="H30" s="193">
        <v>-11220030.229433715</v>
      </c>
      <c r="I30" s="152" t="str">
        <f t="shared" si="7"/>
        <v>Est. Profit</v>
      </c>
      <c r="J30" s="199" t="e">
        <f t="shared" si="8"/>
        <v>#DIV/0!</v>
      </c>
      <c r="K30" s="200" t="e">
        <f t="shared" si="9"/>
        <v>#DIV/0!</v>
      </c>
    </row>
    <row r="31" spans="1:11">
      <c r="C31" s="145" t="s">
        <v>399</v>
      </c>
      <c r="D31" s="190" t="e">
        <f>D11+D30</f>
        <v>#DIV/0!</v>
      </c>
      <c r="F31" s="165"/>
      <c r="G31" s="157" t="s">
        <v>327</v>
      </c>
      <c r="H31" s="165">
        <v>43049</v>
      </c>
      <c r="I31" s="145" t="str">
        <f t="shared" si="7"/>
        <v>Cash Remaining</v>
      </c>
    </row>
    <row r="32" spans="1:11">
      <c r="A32" s="1" t="s">
        <v>326</v>
      </c>
      <c r="B32" s="1" t="s">
        <v>328</v>
      </c>
      <c r="C32" s="1" t="s">
        <v>329</v>
      </c>
      <c r="D32" s="1" t="s">
        <v>341</v>
      </c>
    </row>
    <row r="33" spans="1:4">
      <c r="A33" s="110">
        <v>59</v>
      </c>
      <c r="B33" s="164">
        <f t="shared" ref="B33:B58" si="10">(A33-$B$18)/$B$27</f>
        <v>0.36419753086419754</v>
      </c>
      <c r="C33" s="164">
        <f t="shared" ref="C33:C58" si="11">A33/$B$17</f>
        <v>0.36419753086419754</v>
      </c>
      <c r="D33" s="121" t="str">
        <f>IF(OR(A33&lt;$B$18,$B$18+$B$27&lt;A33),"-",(A33-$B$18)&amp;"-"&amp;($B$17-A33-$B$19))</f>
        <v>59-103</v>
      </c>
    </row>
    <row r="34" spans="1:4">
      <c r="A34" s="110">
        <v>60</v>
      </c>
      <c r="B34" s="164">
        <f t="shared" si="10"/>
        <v>0.37037037037037035</v>
      </c>
      <c r="C34" s="164">
        <f t="shared" si="11"/>
        <v>0.37037037037037035</v>
      </c>
      <c r="D34" s="121" t="str">
        <f t="shared" ref="D34:D107" si="12">IF(OR(A34&lt;$B$18,$B$18+$B$27&lt;A34),"-",(A34-$B$18)&amp;"-"&amp;($B$17-A34-$B$19))</f>
        <v>60-102</v>
      </c>
    </row>
    <row r="35" spans="1:4">
      <c r="A35" s="110">
        <v>61</v>
      </c>
      <c r="B35" s="164">
        <f t="shared" si="10"/>
        <v>0.37654320987654322</v>
      </c>
      <c r="C35" s="164">
        <f t="shared" si="11"/>
        <v>0.37654320987654322</v>
      </c>
      <c r="D35" s="121" t="str">
        <f t="shared" si="12"/>
        <v>61-101</v>
      </c>
    </row>
    <row r="36" spans="1:4">
      <c r="A36" s="110">
        <v>62</v>
      </c>
      <c r="B36" s="164">
        <f t="shared" si="10"/>
        <v>0.38271604938271603</v>
      </c>
      <c r="C36" s="164">
        <f t="shared" si="11"/>
        <v>0.38271604938271603</v>
      </c>
      <c r="D36" s="121" t="str">
        <f t="shared" si="12"/>
        <v>62-100</v>
      </c>
    </row>
    <row r="37" spans="1:4">
      <c r="A37" s="110">
        <v>63</v>
      </c>
      <c r="B37" s="164">
        <f t="shared" si="10"/>
        <v>0.3888888888888889</v>
      </c>
      <c r="C37" s="164">
        <f t="shared" si="11"/>
        <v>0.3888888888888889</v>
      </c>
      <c r="D37" s="121" t="str">
        <f t="shared" si="12"/>
        <v>63-99</v>
      </c>
    </row>
    <row r="38" spans="1:4">
      <c r="A38" s="110">
        <v>64</v>
      </c>
      <c r="B38" s="164">
        <f t="shared" si="10"/>
        <v>0.39506172839506171</v>
      </c>
      <c r="C38" s="164">
        <f t="shared" si="11"/>
        <v>0.39506172839506171</v>
      </c>
      <c r="D38" s="121" t="str">
        <f t="shared" si="12"/>
        <v>64-98</v>
      </c>
    </row>
    <row r="39" spans="1:4">
      <c r="A39" s="110">
        <v>65</v>
      </c>
      <c r="B39" s="164">
        <f t="shared" si="10"/>
        <v>0.40123456790123457</v>
      </c>
      <c r="C39" s="164">
        <f t="shared" si="11"/>
        <v>0.40123456790123457</v>
      </c>
      <c r="D39" s="121" t="str">
        <f t="shared" si="12"/>
        <v>65-97</v>
      </c>
    </row>
    <row r="40" spans="1:4">
      <c r="A40" s="110">
        <v>66</v>
      </c>
      <c r="B40" s="164">
        <f t="shared" si="10"/>
        <v>0.40740740740740738</v>
      </c>
      <c r="C40" s="164">
        <f t="shared" si="11"/>
        <v>0.40740740740740738</v>
      </c>
      <c r="D40" s="121" t="str">
        <f t="shared" si="12"/>
        <v>66-96</v>
      </c>
    </row>
    <row r="41" spans="1:4">
      <c r="A41" s="110">
        <v>67</v>
      </c>
      <c r="B41" s="164">
        <f t="shared" si="10"/>
        <v>0.41358024691358025</v>
      </c>
      <c r="C41" s="164">
        <f t="shared" si="11"/>
        <v>0.41358024691358025</v>
      </c>
      <c r="D41" s="121" t="str">
        <f t="shared" si="12"/>
        <v>67-95</v>
      </c>
    </row>
    <row r="42" spans="1:4">
      <c r="A42" s="110">
        <v>68</v>
      </c>
      <c r="B42" s="164">
        <f t="shared" si="10"/>
        <v>0.41975308641975306</v>
      </c>
      <c r="C42" s="164">
        <f t="shared" si="11"/>
        <v>0.41975308641975306</v>
      </c>
      <c r="D42" s="121" t="str">
        <f t="shared" si="12"/>
        <v>68-94</v>
      </c>
    </row>
    <row r="43" spans="1:4">
      <c r="A43" s="110">
        <v>69</v>
      </c>
      <c r="B43" s="164">
        <f t="shared" si="10"/>
        <v>0.42592592592592593</v>
      </c>
      <c r="C43" s="164">
        <f t="shared" si="11"/>
        <v>0.42592592592592593</v>
      </c>
      <c r="D43" s="121" t="str">
        <f t="shared" si="12"/>
        <v>69-93</v>
      </c>
    </row>
    <row r="44" spans="1:4">
      <c r="A44" s="110">
        <v>70</v>
      </c>
      <c r="B44" s="164">
        <f t="shared" si="10"/>
        <v>0.43209876543209874</v>
      </c>
      <c r="C44" s="164">
        <f t="shared" si="11"/>
        <v>0.43209876543209874</v>
      </c>
      <c r="D44" s="121" t="str">
        <f t="shared" si="12"/>
        <v>70-92</v>
      </c>
    </row>
    <row r="45" spans="1:4">
      <c r="A45" s="110">
        <v>71</v>
      </c>
      <c r="B45" s="164">
        <f t="shared" si="10"/>
        <v>0.43827160493827161</v>
      </c>
      <c r="C45" s="164">
        <f t="shared" si="11"/>
        <v>0.43827160493827161</v>
      </c>
      <c r="D45" s="121" t="str">
        <f t="shared" si="12"/>
        <v>71-91</v>
      </c>
    </row>
    <row r="46" spans="1:4">
      <c r="A46" s="110">
        <v>72</v>
      </c>
      <c r="B46" s="164">
        <f t="shared" si="10"/>
        <v>0.44444444444444442</v>
      </c>
      <c r="C46" s="164">
        <f t="shared" si="11"/>
        <v>0.44444444444444442</v>
      </c>
      <c r="D46" s="121" t="str">
        <f t="shared" si="12"/>
        <v>72-90</v>
      </c>
    </row>
    <row r="47" spans="1:4">
      <c r="A47" s="110">
        <v>73</v>
      </c>
      <c r="B47" s="164">
        <f t="shared" si="10"/>
        <v>0.45061728395061729</v>
      </c>
      <c r="C47" s="164">
        <f t="shared" si="11"/>
        <v>0.45061728395061729</v>
      </c>
      <c r="D47" s="121" t="str">
        <f t="shared" si="12"/>
        <v>73-89</v>
      </c>
    </row>
    <row r="48" spans="1:4">
      <c r="A48" s="110">
        <v>74</v>
      </c>
      <c r="B48" s="164">
        <f t="shared" si="10"/>
        <v>0.4567901234567901</v>
      </c>
      <c r="C48" s="164">
        <f t="shared" si="11"/>
        <v>0.4567901234567901</v>
      </c>
      <c r="D48" s="121" t="str">
        <f t="shared" si="12"/>
        <v>74-88</v>
      </c>
    </row>
    <row r="49" spans="1:4">
      <c r="A49" s="110">
        <v>75</v>
      </c>
      <c r="B49" s="164">
        <f t="shared" si="10"/>
        <v>0.46296296296296297</v>
      </c>
      <c r="C49" s="164">
        <f t="shared" si="11"/>
        <v>0.46296296296296297</v>
      </c>
      <c r="D49" s="121" t="str">
        <f t="shared" si="12"/>
        <v>75-87</v>
      </c>
    </row>
    <row r="50" spans="1:4">
      <c r="A50" s="110">
        <v>76</v>
      </c>
      <c r="B50" s="164">
        <f t="shared" si="10"/>
        <v>0.46913580246913578</v>
      </c>
      <c r="C50" s="164">
        <f t="shared" si="11"/>
        <v>0.46913580246913578</v>
      </c>
      <c r="D50" s="121" t="str">
        <f t="shared" si="12"/>
        <v>76-86</v>
      </c>
    </row>
    <row r="51" spans="1:4">
      <c r="A51" s="110">
        <v>77</v>
      </c>
      <c r="B51" s="164">
        <f t="shared" si="10"/>
        <v>0.47530864197530864</v>
      </c>
      <c r="C51" s="164">
        <f t="shared" si="11"/>
        <v>0.47530864197530864</v>
      </c>
      <c r="D51" s="121" t="str">
        <f t="shared" si="12"/>
        <v>77-85</v>
      </c>
    </row>
    <row r="52" spans="1:4">
      <c r="A52" s="110">
        <v>78</v>
      </c>
      <c r="B52" s="164">
        <f t="shared" si="10"/>
        <v>0.48148148148148145</v>
      </c>
      <c r="C52" s="164">
        <f t="shared" si="11"/>
        <v>0.48148148148148145</v>
      </c>
      <c r="D52" s="121" t="str">
        <f t="shared" si="12"/>
        <v>78-84</v>
      </c>
    </row>
    <row r="53" spans="1:4">
      <c r="A53" s="110">
        <v>79</v>
      </c>
      <c r="B53" s="164">
        <f t="shared" si="10"/>
        <v>0.48765432098765432</v>
      </c>
      <c r="C53" s="164">
        <f t="shared" si="11"/>
        <v>0.48765432098765432</v>
      </c>
      <c r="D53" s="121" t="str">
        <f t="shared" si="12"/>
        <v>79-83</v>
      </c>
    </row>
    <row r="54" spans="1:4">
      <c r="A54" s="110">
        <v>80</v>
      </c>
      <c r="B54" s="164">
        <f t="shared" si="10"/>
        <v>0.49382716049382713</v>
      </c>
      <c r="C54" s="164">
        <f t="shared" si="11"/>
        <v>0.49382716049382713</v>
      </c>
      <c r="D54" s="121" t="str">
        <f t="shared" si="12"/>
        <v>80-82</v>
      </c>
    </row>
    <row r="55" spans="1:4">
      <c r="A55" s="110">
        <v>81</v>
      </c>
      <c r="B55" s="164">
        <f t="shared" si="10"/>
        <v>0.5</v>
      </c>
      <c r="C55" s="164">
        <f t="shared" si="11"/>
        <v>0.5</v>
      </c>
      <c r="D55" s="121" t="str">
        <f t="shared" si="12"/>
        <v>81-81</v>
      </c>
    </row>
    <row r="56" spans="1:4">
      <c r="A56" s="110">
        <v>82</v>
      </c>
      <c r="B56" s="164">
        <f t="shared" si="10"/>
        <v>0.50617283950617287</v>
      </c>
      <c r="C56" s="164">
        <f t="shared" si="11"/>
        <v>0.50617283950617287</v>
      </c>
      <c r="D56" s="121" t="str">
        <f t="shared" si="12"/>
        <v>82-80</v>
      </c>
    </row>
    <row r="57" spans="1:4">
      <c r="A57" s="110">
        <v>83</v>
      </c>
      <c r="B57" s="164">
        <f t="shared" si="10"/>
        <v>0.51234567901234573</v>
      </c>
      <c r="C57" s="164">
        <f t="shared" si="11"/>
        <v>0.51234567901234573</v>
      </c>
      <c r="D57" s="121" t="str">
        <f t="shared" si="12"/>
        <v>83-79</v>
      </c>
    </row>
    <row r="58" spans="1:4">
      <c r="A58" s="110">
        <v>84</v>
      </c>
      <c r="B58" s="164">
        <f t="shared" si="10"/>
        <v>0.51851851851851849</v>
      </c>
      <c r="C58" s="164">
        <f t="shared" si="11"/>
        <v>0.51851851851851849</v>
      </c>
      <c r="D58" s="121" t="str">
        <f t="shared" si="12"/>
        <v>84-78</v>
      </c>
    </row>
    <row r="59" spans="1:4">
      <c r="A59" s="110">
        <v>85</v>
      </c>
      <c r="B59" s="164">
        <f t="shared" ref="B59:B67" si="13">(A59-$B$18)/$B$27</f>
        <v>0.52469135802469136</v>
      </c>
      <c r="C59" s="164">
        <f>A59/$B$17</f>
        <v>0.52469135802469136</v>
      </c>
      <c r="D59" s="121" t="str">
        <f t="shared" si="12"/>
        <v>85-77</v>
      </c>
    </row>
    <row r="60" spans="1:4">
      <c r="A60" s="110">
        <v>86</v>
      </c>
      <c r="B60" s="164">
        <f t="shared" si="13"/>
        <v>0.53086419753086422</v>
      </c>
      <c r="C60" s="164">
        <f t="shared" ref="C60:C67" si="14">A60/$B$17</f>
        <v>0.53086419753086422</v>
      </c>
      <c r="D60" s="121" t="str">
        <f t="shared" si="12"/>
        <v>86-76</v>
      </c>
    </row>
    <row r="61" spans="1:4">
      <c r="A61" s="110">
        <v>87</v>
      </c>
      <c r="B61" s="164">
        <f t="shared" si="13"/>
        <v>0.53703703703703709</v>
      </c>
      <c r="C61" s="164">
        <f t="shared" si="14"/>
        <v>0.53703703703703709</v>
      </c>
      <c r="D61" s="121" t="str">
        <f t="shared" si="12"/>
        <v>87-75</v>
      </c>
    </row>
    <row r="62" spans="1:4">
      <c r="A62" s="110">
        <v>88</v>
      </c>
      <c r="B62" s="164">
        <f t="shared" si="13"/>
        <v>0.54320987654320985</v>
      </c>
      <c r="C62" s="164">
        <f t="shared" si="14"/>
        <v>0.54320987654320985</v>
      </c>
      <c r="D62" s="121" t="str">
        <f t="shared" si="12"/>
        <v>88-74</v>
      </c>
    </row>
    <row r="63" spans="1:4">
      <c r="A63" s="110">
        <v>89</v>
      </c>
      <c r="B63" s="164">
        <f t="shared" si="13"/>
        <v>0.54938271604938271</v>
      </c>
      <c r="C63" s="164">
        <f t="shared" si="14"/>
        <v>0.54938271604938271</v>
      </c>
      <c r="D63" s="121" t="str">
        <f t="shared" si="12"/>
        <v>89-73</v>
      </c>
    </row>
    <row r="64" spans="1:4">
      <c r="A64" s="110">
        <v>90</v>
      </c>
      <c r="B64" s="164">
        <f t="shared" si="13"/>
        <v>0.55555555555555558</v>
      </c>
      <c r="C64" s="164">
        <f t="shared" si="14"/>
        <v>0.55555555555555558</v>
      </c>
      <c r="D64" s="121" t="str">
        <f t="shared" si="12"/>
        <v>90-72</v>
      </c>
    </row>
    <row r="65" spans="1:4">
      <c r="A65" s="110">
        <v>91</v>
      </c>
      <c r="B65" s="164">
        <f t="shared" si="13"/>
        <v>0.56172839506172845</v>
      </c>
      <c r="C65" s="164">
        <f t="shared" si="14"/>
        <v>0.56172839506172845</v>
      </c>
      <c r="D65" s="121" t="str">
        <f t="shared" si="12"/>
        <v>91-71</v>
      </c>
    </row>
    <row r="66" spans="1:4">
      <c r="A66" s="110">
        <v>92</v>
      </c>
      <c r="B66" s="164">
        <f t="shared" si="13"/>
        <v>0.5679012345679012</v>
      </c>
      <c r="C66" s="164">
        <f t="shared" si="14"/>
        <v>0.5679012345679012</v>
      </c>
      <c r="D66" s="121" t="str">
        <f t="shared" si="12"/>
        <v>92-70</v>
      </c>
    </row>
    <row r="67" spans="1:4">
      <c r="A67" s="110">
        <v>93</v>
      </c>
      <c r="B67" s="164">
        <f t="shared" si="13"/>
        <v>0.57407407407407407</v>
      </c>
      <c r="C67" s="164">
        <f t="shared" si="14"/>
        <v>0.57407407407407407</v>
      </c>
      <c r="D67" s="121" t="str">
        <f t="shared" si="12"/>
        <v>93-69</v>
      </c>
    </row>
    <row r="68" spans="1:4">
      <c r="A68" s="110">
        <v>94</v>
      </c>
      <c r="B68" s="164">
        <f t="shared" ref="B68:B84" si="15">(A68-$B$18)/$B$27</f>
        <v>0.58024691358024694</v>
      </c>
      <c r="C68" s="164">
        <f t="shared" ref="C68:C84" si="16">A68/$B$17</f>
        <v>0.58024691358024694</v>
      </c>
      <c r="D68" s="121" t="str">
        <f t="shared" si="12"/>
        <v>94-68</v>
      </c>
    </row>
    <row r="69" spans="1:4">
      <c r="A69" s="110">
        <v>95</v>
      </c>
      <c r="B69" s="164">
        <f t="shared" si="15"/>
        <v>0.5864197530864198</v>
      </c>
      <c r="C69" s="164">
        <f t="shared" si="16"/>
        <v>0.5864197530864198</v>
      </c>
      <c r="D69" s="121" t="str">
        <f t="shared" si="12"/>
        <v>95-67</v>
      </c>
    </row>
    <row r="70" spans="1:4">
      <c r="A70" s="110">
        <v>96</v>
      </c>
      <c r="B70" s="164">
        <f t="shared" si="15"/>
        <v>0.59259259259259256</v>
      </c>
      <c r="C70" s="164">
        <f t="shared" si="16"/>
        <v>0.59259259259259256</v>
      </c>
      <c r="D70" s="121" t="str">
        <f t="shared" si="12"/>
        <v>96-66</v>
      </c>
    </row>
    <row r="71" spans="1:4">
      <c r="A71" s="110">
        <v>97</v>
      </c>
      <c r="B71" s="164">
        <f t="shared" si="15"/>
        <v>0.59876543209876543</v>
      </c>
      <c r="C71" s="164">
        <f t="shared" si="16"/>
        <v>0.59876543209876543</v>
      </c>
      <c r="D71" s="121" t="str">
        <f t="shared" si="12"/>
        <v>97-65</v>
      </c>
    </row>
    <row r="72" spans="1:4">
      <c r="A72" s="110">
        <v>98</v>
      </c>
      <c r="B72" s="164">
        <f t="shared" si="15"/>
        <v>0.60493827160493829</v>
      </c>
      <c r="C72" s="164">
        <f t="shared" si="16"/>
        <v>0.60493827160493829</v>
      </c>
      <c r="D72" s="121" t="str">
        <f t="shared" si="12"/>
        <v>98-64</v>
      </c>
    </row>
    <row r="73" spans="1:4">
      <c r="A73" s="110">
        <v>99</v>
      </c>
      <c r="B73" s="164">
        <f t="shared" si="15"/>
        <v>0.61111111111111116</v>
      </c>
      <c r="C73" s="164">
        <f t="shared" si="16"/>
        <v>0.61111111111111116</v>
      </c>
      <c r="D73" s="121" t="str">
        <f t="shared" si="12"/>
        <v>99-63</v>
      </c>
    </row>
    <row r="74" spans="1:4">
      <c r="A74" s="110">
        <v>100</v>
      </c>
      <c r="B74" s="164">
        <f t="shared" si="15"/>
        <v>0.61728395061728392</v>
      </c>
      <c r="C74" s="164">
        <f t="shared" si="16"/>
        <v>0.61728395061728392</v>
      </c>
      <c r="D74" s="121" t="str">
        <f t="shared" si="12"/>
        <v>100-62</v>
      </c>
    </row>
    <row r="75" spans="1:4">
      <c r="A75" s="110">
        <v>101</v>
      </c>
      <c r="B75" s="164">
        <f t="shared" si="15"/>
        <v>0.62345679012345678</v>
      </c>
      <c r="C75" s="164">
        <f t="shared" si="16"/>
        <v>0.62345679012345678</v>
      </c>
      <c r="D75" s="121" t="str">
        <f t="shared" si="12"/>
        <v>101-61</v>
      </c>
    </row>
    <row r="76" spans="1:4">
      <c r="A76" s="110">
        <v>102</v>
      </c>
      <c r="B76" s="164">
        <f t="shared" si="15"/>
        <v>0.62962962962962965</v>
      </c>
      <c r="C76" s="164">
        <f t="shared" si="16"/>
        <v>0.62962962962962965</v>
      </c>
      <c r="D76" s="121" t="str">
        <f t="shared" si="12"/>
        <v>102-60</v>
      </c>
    </row>
    <row r="77" spans="1:4">
      <c r="A77" s="110">
        <v>103</v>
      </c>
      <c r="B77" s="164">
        <f t="shared" si="15"/>
        <v>0.63580246913580252</v>
      </c>
      <c r="C77" s="164">
        <f t="shared" si="16"/>
        <v>0.63580246913580252</v>
      </c>
      <c r="D77" s="121" t="str">
        <f t="shared" si="12"/>
        <v>103-59</v>
      </c>
    </row>
    <row r="78" spans="1:4">
      <c r="A78" s="110">
        <v>104</v>
      </c>
      <c r="B78" s="164">
        <f t="shared" si="15"/>
        <v>0.64197530864197527</v>
      </c>
      <c r="C78" s="164">
        <f t="shared" si="16"/>
        <v>0.64197530864197527</v>
      </c>
      <c r="D78" s="121" t="str">
        <f t="shared" si="12"/>
        <v>104-58</v>
      </c>
    </row>
    <row r="79" spans="1:4">
      <c r="A79" s="110">
        <v>105</v>
      </c>
      <c r="B79" s="164">
        <f t="shared" si="15"/>
        <v>0.64814814814814814</v>
      </c>
      <c r="C79" s="164">
        <f t="shared" si="16"/>
        <v>0.64814814814814814</v>
      </c>
      <c r="D79" s="121" t="str">
        <f t="shared" si="12"/>
        <v>105-57</v>
      </c>
    </row>
    <row r="80" spans="1:4">
      <c r="A80" s="110">
        <v>106</v>
      </c>
      <c r="B80" s="164">
        <f t="shared" si="15"/>
        <v>0.65432098765432101</v>
      </c>
      <c r="C80" s="164">
        <f t="shared" si="16"/>
        <v>0.65432098765432101</v>
      </c>
      <c r="D80" s="121" t="str">
        <f t="shared" si="12"/>
        <v>106-56</v>
      </c>
    </row>
    <row r="81" spans="1:4">
      <c r="A81" s="110">
        <v>107</v>
      </c>
      <c r="B81" s="164">
        <f t="shared" si="15"/>
        <v>0.66049382716049387</v>
      </c>
      <c r="C81" s="164">
        <f t="shared" si="16"/>
        <v>0.66049382716049387</v>
      </c>
      <c r="D81" s="121" t="str">
        <f t="shared" si="12"/>
        <v>107-55</v>
      </c>
    </row>
    <row r="82" spans="1:4">
      <c r="A82" s="110">
        <v>108</v>
      </c>
      <c r="B82" s="164">
        <f t="shared" si="15"/>
        <v>0.66666666666666663</v>
      </c>
      <c r="C82" s="164">
        <f t="shared" si="16"/>
        <v>0.66666666666666663</v>
      </c>
      <c r="D82" s="121" t="str">
        <f t="shared" si="12"/>
        <v>108-54</v>
      </c>
    </row>
    <row r="83" spans="1:4">
      <c r="A83" s="110">
        <v>109</v>
      </c>
      <c r="B83" s="164">
        <f t="shared" si="15"/>
        <v>0.6728395061728395</v>
      </c>
      <c r="C83" s="164">
        <f t="shared" si="16"/>
        <v>0.6728395061728395</v>
      </c>
      <c r="D83" s="121" t="str">
        <f t="shared" si="12"/>
        <v>109-53</v>
      </c>
    </row>
    <row r="84" spans="1:4">
      <c r="A84" s="110">
        <v>110</v>
      </c>
      <c r="B84" s="164">
        <f t="shared" si="15"/>
        <v>0.67901234567901236</v>
      </c>
      <c r="C84" s="164">
        <f t="shared" si="16"/>
        <v>0.67901234567901236</v>
      </c>
      <c r="D84" s="121" t="str">
        <f t="shared" si="12"/>
        <v>110-52</v>
      </c>
    </row>
    <row r="85" spans="1:4" s="1" customFormat="1">
      <c r="A85" s="1" t="s">
        <v>330</v>
      </c>
      <c r="B85" s="1" t="s">
        <v>331</v>
      </c>
      <c r="C85" s="1" t="s">
        <v>329</v>
      </c>
      <c r="D85" s="1" t="s">
        <v>341</v>
      </c>
    </row>
    <row r="86" spans="1:4" s="1" customFormat="1">
      <c r="A86">
        <f t="shared" ref="A86:A95" si="17">ROUND($B$18+$B$27*B86,0)</f>
        <v>49</v>
      </c>
      <c r="B86" s="164">
        <v>0.3</v>
      </c>
      <c r="C86" s="164">
        <f t="shared" ref="C86:C95" si="18">A86/$B$17</f>
        <v>0.30246913580246915</v>
      </c>
      <c r="D86" s="121" t="str">
        <f t="shared" ref="D86:D95" si="19">IF(OR(A86&lt;$B$18,$B$18+$B$27&lt;A86),"-",(A86-$B$18)&amp;"-"&amp;($B$17-A86-$B$19))</f>
        <v>49-113</v>
      </c>
    </row>
    <row r="87" spans="1:4" s="1" customFormat="1">
      <c r="A87">
        <f t="shared" si="17"/>
        <v>50</v>
      </c>
      <c r="B87" s="164">
        <v>0.31</v>
      </c>
      <c r="C87" s="164">
        <f t="shared" si="18"/>
        <v>0.30864197530864196</v>
      </c>
      <c r="D87" s="121" t="str">
        <f t="shared" si="19"/>
        <v>50-112</v>
      </c>
    </row>
    <row r="88" spans="1:4" s="1" customFormat="1">
      <c r="A88">
        <f t="shared" si="17"/>
        <v>52</v>
      </c>
      <c r="B88" s="164">
        <v>0.32</v>
      </c>
      <c r="C88" s="164">
        <f t="shared" si="18"/>
        <v>0.32098765432098764</v>
      </c>
      <c r="D88" s="121" t="str">
        <f t="shared" si="19"/>
        <v>52-110</v>
      </c>
    </row>
    <row r="89" spans="1:4" s="1" customFormat="1">
      <c r="A89">
        <f t="shared" si="17"/>
        <v>53</v>
      </c>
      <c r="B89" s="164">
        <v>0.33</v>
      </c>
      <c r="C89" s="164">
        <f t="shared" si="18"/>
        <v>0.3271604938271605</v>
      </c>
      <c r="D89" s="121" t="str">
        <f t="shared" si="19"/>
        <v>53-109</v>
      </c>
    </row>
    <row r="90" spans="1:4" s="1" customFormat="1">
      <c r="A90">
        <f t="shared" si="17"/>
        <v>55</v>
      </c>
      <c r="B90" s="164">
        <v>0.34</v>
      </c>
      <c r="C90" s="164">
        <f t="shared" si="18"/>
        <v>0.33950617283950618</v>
      </c>
      <c r="D90" s="121" t="str">
        <f t="shared" si="19"/>
        <v>55-107</v>
      </c>
    </row>
    <row r="91" spans="1:4" s="1" customFormat="1">
      <c r="A91">
        <f t="shared" si="17"/>
        <v>57</v>
      </c>
      <c r="B91" s="164">
        <v>0.35</v>
      </c>
      <c r="C91" s="164">
        <f t="shared" si="18"/>
        <v>0.35185185185185186</v>
      </c>
      <c r="D91" s="121" t="str">
        <f t="shared" si="19"/>
        <v>57-105</v>
      </c>
    </row>
    <row r="92" spans="1:4" s="1" customFormat="1">
      <c r="A92">
        <f t="shared" si="17"/>
        <v>58</v>
      </c>
      <c r="B92" s="164">
        <v>0.36</v>
      </c>
      <c r="C92" s="164">
        <f t="shared" si="18"/>
        <v>0.35802469135802467</v>
      </c>
      <c r="D92" s="121" t="str">
        <f t="shared" si="19"/>
        <v>58-104</v>
      </c>
    </row>
    <row r="93" spans="1:4" s="1" customFormat="1">
      <c r="A93">
        <f t="shared" si="17"/>
        <v>60</v>
      </c>
      <c r="B93" s="164">
        <v>0.37</v>
      </c>
      <c r="C93" s="164">
        <f t="shared" si="18"/>
        <v>0.37037037037037035</v>
      </c>
      <c r="D93" s="121" t="str">
        <f t="shared" si="19"/>
        <v>60-102</v>
      </c>
    </row>
    <row r="94" spans="1:4" s="1" customFormat="1">
      <c r="A94">
        <f t="shared" si="17"/>
        <v>62</v>
      </c>
      <c r="B94" s="164">
        <v>0.38</v>
      </c>
      <c r="C94" s="164">
        <f t="shared" si="18"/>
        <v>0.38271604938271603</v>
      </c>
      <c r="D94" s="121" t="str">
        <f t="shared" si="19"/>
        <v>62-100</v>
      </c>
    </row>
    <row r="95" spans="1:4" s="1" customFormat="1">
      <c r="A95">
        <f t="shared" si="17"/>
        <v>63</v>
      </c>
      <c r="B95" s="164">
        <v>0.39</v>
      </c>
      <c r="C95" s="164">
        <f t="shared" si="18"/>
        <v>0.3888888888888889</v>
      </c>
      <c r="D95" s="121" t="str">
        <f t="shared" si="19"/>
        <v>63-99</v>
      </c>
    </row>
    <row r="96" spans="1:4">
      <c r="A96">
        <f>ROUND($B$18+$B$27*B96,0)</f>
        <v>65</v>
      </c>
      <c r="B96" s="164">
        <v>0.4</v>
      </c>
      <c r="C96" s="164">
        <f>A96/$B$17</f>
        <v>0.40123456790123457</v>
      </c>
      <c r="D96" s="121" t="str">
        <f t="shared" si="12"/>
        <v>65-97</v>
      </c>
    </row>
    <row r="97" spans="1:4">
      <c r="A97">
        <f>ROUND($B$18+$B$27*B97,0)</f>
        <v>66</v>
      </c>
      <c r="B97" s="164">
        <v>0.41</v>
      </c>
      <c r="C97" s="164">
        <f>A97/$B$17</f>
        <v>0.40740740740740738</v>
      </c>
      <c r="D97" s="121" t="str">
        <f t="shared" si="12"/>
        <v>66-96</v>
      </c>
    </row>
    <row r="98" spans="1:4">
      <c r="A98">
        <f t="shared" ref="A98:A107" si="20">ROUND($B$18+$B$27*B98,0)</f>
        <v>68</v>
      </c>
      <c r="B98" s="164">
        <v>0.42</v>
      </c>
      <c r="C98" s="164">
        <f t="shared" ref="C98:C107" si="21">A98/$B$17</f>
        <v>0.41975308641975306</v>
      </c>
      <c r="D98" s="121" t="str">
        <f t="shared" si="12"/>
        <v>68-94</v>
      </c>
    </row>
    <row r="99" spans="1:4">
      <c r="A99">
        <f t="shared" si="20"/>
        <v>70</v>
      </c>
      <c r="B99" s="164">
        <v>0.43</v>
      </c>
      <c r="C99" s="164">
        <f t="shared" si="21"/>
        <v>0.43209876543209874</v>
      </c>
      <c r="D99" s="121" t="str">
        <f t="shared" si="12"/>
        <v>70-92</v>
      </c>
    </row>
    <row r="100" spans="1:4">
      <c r="A100">
        <f t="shared" si="20"/>
        <v>71</v>
      </c>
      <c r="B100" s="164">
        <v>0.44</v>
      </c>
      <c r="C100" s="164">
        <f t="shared" si="21"/>
        <v>0.43827160493827161</v>
      </c>
      <c r="D100" s="121" t="str">
        <f t="shared" si="12"/>
        <v>71-91</v>
      </c>
    </row>
    <row r="101" spans="1:4">
      <c r="A101">
        <f t="shared" si="20"/>
        <v>73</v>
      </c>
      <c r="B101" s="164">
        <v>0.45</v>
      </c>
      <c r="C101" s="164">
        <f t="shared" si="21"/>
        <v>0.45061728395061729</v>
      </c>
      <c r="D101" s="121" t="str">
        <f t="shared" si="12"/>
        <v>73-89</v>
      </c>
    </row>
    <row r="102" spans="1:4">
      <c r="A102">
        <f t="shared" si="20"/>
        <v>75</v>
      </c>
      <c r="B102" s="164">
        <v>0.46</v>
      </c>
      <c r="C102" s="164">
        <f t="shared" si="21"/>
        <v>0.46296296296296297</v>
      </c>
      <c r="D102" s="121" t="str">
        <f t="shared" si="12"/>
        <v>75-87</v>
      </c>
    </row>
    <row r="103" spans="1:4">
      <c r="A103">
        <f t="shared" si="20"/>
        <v>76</v>
      </c>
      <c r="B103" s="164">
        <v>0.47</v>
      </c>
      <c r="C103" s="164">
        <f t="shared" si="21"/>
        <v>0.46913580246913578</v>
      </c>
      <c r="D103" s="121" t="str">
        <f t="shared" si="12"/>
        <v>76-86</v>
      </c>
    </row>
    <row r="104" spans="1:4">
      <c r="A104">
        <f t="shared" si="20"/>
        <v>78</v>
      </c>
      <c r="B104" s="164">
        <v>0.48</v>
      </c>
      <c r="C104" s="164">
        <f t="shared" si="21"/>
        <v>0.48148148148148145</v>
      </c>
      <c r="D104" s="121" t="str">
        <f t="shared" si="12"/>
        <v>78-84</v>
      </c>
    </row>
    <row r="105" spans="1:4">
      <c r="A105">
        <f t="shared" si="20"/>
        <v>79</v>
      </c>
      <c r="B105" s="164">
        <v>0.49</v>
      </c>
      <c r="C105" s="164">
        <f t="shared" si="21"/>
        <v>0.48765432098765432</v>
      </c>
      <c r="D105" s="121" t="str">
        <f t="shared" si="12"/>
        <v>79-83</v>
      </c>
    </row>
    <row r="106" spans="1:4">
      <c r="A106">
        <f t="shared" si="20"/>
        <v>81</v>
      </c>
      <c r="B106" s="164">
        <v>0.5</v>
      </c>
      <c r="C106" s="164">
        <f t="shared" si="21"/>
        <v>0.5</v>
      </c>
      <c r="D106" s="121" t="str">
        <f t="shared" si="12"/>
        <v>81-81</v>
      </c>
    </row>
    <row r="107" spans="1:4">
      <c r="A107">
        <f t="shared" si="20"/>
        <v>83</v>
      </c>
      <c r="B107" s="164">
        <v>0.50999999999999901</v>
      </c>
      <c r="C107" s="164">
        <f t="shared" si="21"/>
        <v>0.51234567901234573</v>
      </c>
      <c r="D107" s="121" t="str">
        <f t="shared" si="12"/>
        <v>83-79</v>
      </c>
    </row>
    <row r="108" spans="1:4">
      <c r="A108">
        <f>ROUND($B$18+$B$27*B108,0)</f>
        <v>84</v>
      </c>
      <c r="B108" s="164">
        <v>0.51999999999999902</v>
      </c>
      <c r="C108" s="164">
        <f>A108/$B$17</f>
        <v>0.51851851851851849</v>
      </c>
      <c r="D108" s="121" t="str">
        <f t="shared" ref="D108:D126" si="22">IF(OR(A108&lt;$B$18,$B$18+$B$27&lt;A108),"-",(A108-$B$18)&amp;"-"&amp;($B$17-A108-$B$19))</f>
        <v>84-78</v>
      </c>
    </row>
    <row r="109" spans="1:4">
      <c r="A109">
        <f>ROUND($B$18+$B$27*B109,0)</f>
        <v>86</v>
      </c>
      <c r="B109" s="164">
        <v>0.52999999999999903</v>
      </c>
      <c r="C109" s="164">
        <f>A109/$B$17</f>
        <v>0.53086419753086422</v>
      </c>
      <c r="D109" s="121" t="str">
        <f t="shared" si="22"/>
        <v>86-76</v>
      </c>
    </row>
    <row r="110" spans="1:4">
      <c r="A110">
        <f t="shared" ref="A110:A113" si="23">ROUND($B$18+$B$27*B110,0)</f>
        <v>87</v>
      </c>
      <c r="B110" s="164">
        <v>0.53999999999999904</v>
      </c>
      <c r="C110" s="164">
        <f t="shared" ref="C110:C113" si="24">A110/$B$17</f>
        <v>0.53703703703703709</v>
      </c>
      <c r="D110" s="121" t="str">
        <f t="shared" si="22"/>
        <v>87-75</v>
      </c>
    </row>
    <row r="111" spans="1:4">
      <c r="A111">
        <f t="shared" si="23"/>
        <v>89</v>
      </c>
      <c r="B111" s="164">
        <v>0.54999999999999905</v>
      </c>
      <c r="C111" s="164">
        <f t="shared" si="24"/>
        <v>0.54938271604938271</v>
      </c>
      <c r="D111" s="121" t="str">
        <f t="shared" si="22"/>
        <v>89-73</v>
      </c>
    </row>
    <row r="112" spans="1:4">
      <c r="A112">
        <f t="shared" si="23"/>
        <v>91</v>
      </c>
      <c r="B112" s="164">
        <v>0.55999999999999905</v>
      </c>
      <c r="C112" s="164">
        <f t="shared" si="24"/>
        <v>0.56172839506172845</v>
      </c>
      <c r="D112" s="121" t="str">
        <f t="shared" si="22"/>
        <v>91-71</v>
      </c>
    </row>
    <row r="113" spans="1:4">
      <c r="A113">
        <f t="shared" si="23"/>
        <v>92</v>
      </c>
      <c r="B113" s="164">
        <v>0.56999999999999895</v>
      </c>
      <c r="C113" s="164">
        <f t="shared" si="24"/>
        <v>0.5679012345679012</v>
      </c>
      <c r="D113" s="121" t="str">
        <f t="shared" si="22"/>
        <v>92-70</v>
      </c>
    </row>
    <row r="114" spans="1:4">
      <c r="A114">
        <f>ROUND($B$18+$B$27*B114,0)</f>
        <v>94</v>
      </c>
      <c r="B114" s="164">
        <v>0.57999999999999896</v>
      </c>
      <c r="C114" s="164">
        <f>A114/$B$17</f>
        <v>0.58024691358024694</v>
      </c>
      <c r="D114" s="121" t="str">
        <f t="shared" si="22"/>
        <v>94-68</v>
      </c>
    </row>
    <row r="115" spans="1:4">
      <c r="A115">
        <f>ROUND($B$18+$B$27*B115,0)</f>
        <v>96</v>
      </c>
      <c r="B115" s="164">
        <v>0.58999999999999897</v>
      </c>
      <c r="C115" s="164">
        <f>A115/$B$17</f>
        <v>0.59259259259259256</v>
      </c>
      <c r="D115" s="121" t="str">
        <f t="shared" si="22"/>
        <v>96-66</v>
      </c>
    </row>
    <row r="116" spans="1:4">
      <c r="A116">
        <f t="shared" ref="A116:A119" si="25">ROUND($B$18+$B$27*B116,0)</f>
        <v>97</v>
      </c>
      <c r="B116" s="164">
        <v>0.59999999999999898</v>
      </c>
      <c r="C116" s="164">
        <f t="shared" ref="C116:C119" si="26">A116/$B$17</f>
        <v>0.59876543209876543</v>
      </c>
      <c r="D116" s="121" t="str">
        <f t="shared" si="22"/>
        <v>97-65</v>
      </c>
    </row>
    <row r="117" spans="1:4">
      <c r="A117">
        <f t="shared" si="25"/>
        <v>99</v>
      </c>
      <c r="B117" s="164">
        <v>0.60999999999999899</v>
      </c>
      <c r="C117" s="164">
        <f t="shared" si="26"/>
        <v>0.61111111111111116</v>
      </c>
      <c r="D117" s="121" t="str">
        <f t="shared" si="22"/>
        <v>99-63</v>
      </c>
    </row>
    <row r="118" spans="1:4">
      <c r="A118">
        <f t="shared" si="25"/>
        <v>100</v>
      </c>
      <c r="B118" s="164">
        <v>0.619999999999999</v>
      </c>
      <c r="C118" s="164">
        <f t="shared" si="26"/>
        <v>0.61728395061728392</v>
      </c>
      <c r="D118" s="121" t="str">
        <f t="shared" si="22"/>
        <v>100-62</v>
      </c>
    </row>
    <row r="119" spans="1:4">
      <c r="A119">
        <f t="shared" si="25"/>
        <v>102</v>
      </c>
      <c r="B119" s="164">
        <v>0.62999999999999901</v>
      </c>
      <c r="C119" s="164">
        <f t="shared" si="26"/>
        <v>0.62962962962962965</v>
      </c>
      <c r="D119" s="121" t="str">
        <f t="shared" si="22"/>
        <v>102-60</v>
      </c>
    </row>
    <row r="120" spans="1:4">
      <c r="A120">
        <f>ROUND($B$18+$B$27*B120,0)</f>
        <v>104</v>
      </c>
      <c r="B120" s="164">
        <v>0.63999999999999901</v>
      </c>
      <c r="C120" s="164">
        <f>A120/$B$17</f>
        <v>0.64197530864197527</v>
      </c>
      <c r="D120" s="121" t="str">
        <f t="shared" si="22"/>
        <v>104-58</v>
      </c>
    </row>
    <row r="121" spans="1:4">
      <c r="A121">
        <f>ROUND($B$18+$B$27*B121,0)</f>
        <v>105</v>
      </c>
      <c r="B121" s="164">
        <v>0.64999999999999902</v>
      </c>
      <c r="C121" s="164">
        <f>A121/$B$17</f>
        <v>0.64814814814814814</v>
      </c>
      <c r="D121" s="121" t="str">
        <f t="shared" si="22"/>
        <v>105-57</v>
      </c>
    </row>
    <row r="122" spans="1:4">
      <c r="A122">
        <f t="shared" ref="A122:A125" si="27">ROUND($B$18+$B$27*B122,0)</f>
        <v>107</v>
      </c>
      <c r="B122" s="164">
        <v>0.65999999999999903</v>
      </c>
      <c r="C122" s="164">
        <f t="shared" ref="C122:C125" si="28">A122/$B$17</f>
        <v>0.66049382716049387</v>
      </c>
      <c r="D122" s="121" t="str">
        <f t="shared" si="22"/>
        <v>107-55</v>
      </c>
    </row>
    <row r="123" spans="1:4">
      <c r="A123">
        <f t="shared" si="27"/>
        <v>109</v>
      </c>
      <c r="B123" s="164">
        <v>0.66999999999999904</v>
      </c>
      <c r="C123" s="164">
        <f t="shared" si="28"/>
        <v>0.6728395061728395</v>
      </c>
      <c r="D123" s="121" t="str">
        <f t="shared" si="22"/>
        <v>109-53</v>
      </c>
    </row>
    <row r="124" spans="1:4">
      <c r="A124">
        <f t="shared" si="27"/>
        <v>110</v>
      </c>
      <c r="B124" s="164">
        <v>0.67999999999999905</v>
      </c>
      <c r="C124" s="164">
        <f t="shared" si="28"/>
        <v>0.67901234567901236</v>
      </c>
      <c r="D124" s="121" t="str">
        <f t="shared" si="22"/>
        <v>110-52</v>
      </c>
    </row>
    <row r="125" spans="1:4">
      <c r="A125">
        <f t="shared" si="27"/>
        <v>112</v>
      </c>
      <c r="B125" s="164">
        <v>0.68999999999999895</v>
      </c>
      <c r="C125" s="164">
        <f t="shared" si="28"/>
        <v>0.69135802469135799</v>
      </c>
      <c r="D125" s="121" t="str">
        <f t="shared" si="22"/>
        <v>112-50</v>
      </c>
    </row>
    <row r="126" spans="1:4">
      <c r="A126">
        <f>ROUND($B$18+$B$27*B126,0)</f>
        <v>113</v>
      </c>
      <c r="B126" s="164">
        <v>0.69999999999999896</v>
      </c>
      <c r="C126" s="164">
        <f>A126/$B$17</f>
        <v>0.69753086419753085</v>
      </c>
      <c r="D126" s="121" t="str">
        <f t="shared" si="22"/>
        <v>113-49</v>
      </c>
    </row>
  </sheetData>
  <mergeCells count="4">
    <mergeCell ref="A2:B2"/>
    <mergeCell ref="C2:D2"/>
    <mergeCell ref="E2:F2"/>
    <mergeCell ref="G2:H2"/>
  </mergeCells>
  <hyperlinks>
    <hyperlink ref="A12" r:id="rId1" display="http://www.pebabaseball.com/reports/news/html/players/player_4264.html"/>
    <hyperlink ref="A13" r:id="rId2" display="http://www.pebabaseball.com/reports/news/html/players/player_4180.html"/>
    <hyperlink ref="A14" r:id="rId3" display="http://www.pebabaseball.com/reports/news/html/players/player_10036.html"/>
    <hyperlink ref="A15" r:id="rId4" display="http://www.pebabaseball.com/reports/news/html/players/player_9348.html"/>
    <hyperlink ref="A16" r:id="rId5" display="http://www.pebabaseball.com/reports/news/html/players/player_10569.html"/>
  </hyperlinks>
  <pageMargins left="0.7" right="0.7" top="0.75" bottom="0.75" header="0.3" footer="0.3"/>
  <pageSetup orientation="portrait" r:id="rId6"/>
</worksheet>
</file>

<file path=xl/worksheets/sheet6.xml><?xml version="1.0" encoding="utf-8"?>
<worksheet xmlns="http://schemas.openxmlformats.org/spreadsheetml/2006/main" xmlns:r="http://schemas.openxmlformats.org/officeDocument/2006/relationships">
  <sheetPr published="0" codeName="Sheet2">
    <tabColor theme="9"/>
  </sheetPr>
  <dimension ref="A1:W57"/>
  <sheetViews>
    <sheetView workbookViewId="0">
      <pane xSplit="1" topLeftCell="B1" activePane="topRight" state="frozenSplit"/>
      <selection pane="topRight" activeCell="F41" sqref="F41"/>
    </sheetView>
  </sheetViews>
  <sheetFormatPr defaultRowHeight="15"/>
  <cols>
    <col min="1" max="1" width="4.140625" style="121" bestFit="1" customWidth="1"/>
    <col min="2" max="2" width="18.85546875" style="121" bestFit="1" customWidth="1"/>
    <col min="3" max="3" width="4.5703125" style="121" bestFit="1" customWidth="1"/>
    <col min="4" max="4" width="8.85546875" style="121" bestFit="1" customWidth="1"/>
    <col min="5" max="5" width="4.42578125" style="121" bestFit="1" customWidth="1"/>
    <col min="6" max="6" width="6.42578125" style="121" bestFit="1" customWidth="1"/>
    <col min="7" max="10" width="18.5703125" style="121" bestFit="1" customWidth="1"/>
    <col min="11" max="11" width="16" style="121" customWidth="1"/>
    <col min="12" max="12" width="13.140625" style="121" bestFit="1" customWidth="1"/>
    <col min="13" max="13" width="48.140625" style="141" customWidth="1"/>
    <col min="14" max="14" width="5.42578125" style="121" bestFit="1" customWidth="1"/>
    <col min="15" max="15" width="5.85546875" style="121" bestFit="1" customWidth="1"/>
    <col min="16" max="16" width="5.7109375" style="121" bestFit="1" customWidth="1"/>
    <col min="17" max="17" width="13.140625" style="121" bestFit="1" customWidth="1"/>
    <col min="18" max="18" width="77.7109375" style="141" customWidth="1"/>
    <col min="19" max="19" width="5.42578125" style="121" bestFit="1" customWidth="1"/>
    <col min="20" max="20" width="5.85546875" style="121" bestFit="1" customWidth="1"/>
    <col min="21" max="21" width="5.7109375" style="121" bestFit="1" customWidth="1"/>
    <col min="22" max="22" width="9.140625" style="121"/>
    <col min="23" max="23" width="4.140625" style="121" bestFit="1" customWidth="1"/>
  </cols>
  <sheetData>
    <row r="1" spans="1:23">
      <c r="B1" s="121">
        <v>2</v>
      </c>
      <c r="C1" s="121">
        <v>36</v>
      </c>
      <c r="D1" s="121">
        <v>4</v>
      </c>
      <c r="E1" s="121">
        <v>2</v>
      </c>
    </row>
    <row r="2" spans="1:23" s="1" customFormat="1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351" t="s">
        <v>350</v>
      </c>
      <c r="M2" s="352"/>
      <c r="N2" s="352"/>
      <c r="O2" s="352"/>
      <c r="P2" s="353"/>
      <c r="Q2" s="351" t="s">
        <v>351</v>
      </c>
      <c r="R2" s="352"/>
      <c r="S2" s="352"/>
      <c r="T2" s="352"/>
      <c r="U2" s="353"/>
      <c r="V2" s="124" t="s">
        <v>255</v>
      </c>
      <c r="W2" s="122"/>
    </row>
    <row r="3" spans="1:23" s="1" customFormat="1">
      <c r="A3" s="123" t="s">
        <v>119</v>
      </c>
      <c r="B3" s="135">
        <f>MIN(Payroll!F2:O2)</f>
        <v>2019</v>
      </c>
      <c r="C3" s="136" t="s">
        <v>239</v>
      </c>
      <c r="D3" s="137" t="s">
        <v>349</v>
      </c>
      <c r="E3" s="137" t="s">
        <v>91</v>
      </c>
      <c r="F3" s="137" t="s">
        <v>238</v>
      </c>
      <c r="G3" s="136">
        <f>B3+1</f>
        <v>2020</v>
      </c>
      <c r="H3" s="135">
        <f>G3+1</f>
        <v>2021</v>
      </c>
      <c r="I3" s="135">
        <f>H3+1</f>
        <v>2022</v>
      </c>
      <c r="J3" s="137">
        <f>I3+1</f>
        <v>2023</v>
      </c>
      <c r="K3" s="123" t="s">
        <v>335</v>
      </c>
      <c r="L3" s="132" t="s">
        <v>248</v>
      </c>
      <c r="M3" s="138" t="s">
        <v>243</v>
      </c>
      <c r="N3" s="125" t="s">
        <v>244</v>
      </c>
      <c r="O3" s="125" t="s">
        <v>245</v>
      </c>
      <c r="P3" s="126" t="s">
        <v>247</v>
      </c>
      <c r="Q3" s="132" t="s">
        <v>248</v>
      </c>
      <c r="R3" s="138" t="s">
        <v>243</v>
      </c>
      <c r="S3" s="125" t="s">
        <v>244</v>
      </c>
      <c r="T3" s="125" t="s">
        <v>245</v>
      </c>
      <c r="U3" s="126" t="s">
        <v>246</v>
      </c>
      <c r="V3" s="127" t="s">
        <v>247</v>
      </c>
      <c r="W3" s="123" t="s">
        <v>119</v>
      </c>
    </row>
    <row r="4" spans="1:23">
      <c r="A4" s="99" t="s">
        <v>92</v>
      </c>
      <c r="B4" s="128" t="str">
        <f>VLOOKUP($A4,CON!$B$2:$AZ$24,B$1,FALSE)</f>
        <v>Jason Corbett</v>
      </c>
      <c r="C4" s="204">
        <f>VLOOKUP($A4,CON!$B$2:$AZ$24,C$1,FALSE)</f>
        <v>7.1805555555555554</v>
      </c>
      <c r="D4" s="216" t="str">
        <f>VLOOKUP($A4,CON!$T$27:$X$34,D$1,FALSE)&amp;" / "&amp;VLOOKUP($A4,CON!$T$27:$X$34,D$1+1,FALSE)</f>
        <v>9 / 8</v>
      </c>
      <c r="E4" s="217">
        <f>VLOOKUP(B4,CON!$C$2:$D$24,$E$1,FALSE)</f>
        <v>30</v>
      </c>
      <c r="F4" s="129"/>
      <c r="G4" s="181" t="s">
        <v>635</v>
      </c>
      <c r="H4" s="154" t="s">
        <v>635</v>
      </c>
      <c r="I4" s="154"/>
      <c r="J4" s="202"/>
      <c r="K4" s="99"/>
      <c r="L4" s="133" t="s">
        <v>251</v>
      </c>
      <c r="M4" s="139"/>
      <c r="N4" s="128">
        <f>IF(M4="",0,LEN(M4)-LEN(SUBSTITUTE(M4,",",""))+1)</f>
        <v>0</v>
      </c>
      <c r="O4" s="128">
        <v>1</v>
      </c>
      <c r="P4" s="129">
        <f>N4-O4</f>
        <v>-1</v>
      </c>
      <c r="Q4" s="133" t="s">
        <v>249</v>
      </c>
      <c r="R4" s="139"/>
      <c r="S4" s="128">
        <f>IF(R4="",0,LEN(R4)-LEN(SUBSTITUTE(R4,",",""))+1)</f>
        <v>0</v>
      </c>
      <c r="T4" s="128">
        <v>2</v>
      </c>
      <c r="U4" s="129">
        <f>S4-T4</f>
        <v>-2</v>
      </c>
      <c r="V4" s="99">
        <f>MIN(P4,P4+U4)</f>
        <v>-3</v>
      </c>
      <c r="W4" s="99" t="s">
        <v>92</v>
      </c>
    </row>
    <row r="5" spans="1:23">
      <c r="A5" s="99" t="s">
        <v>94</v>
      </c>
      <c r="B5" s="154" t="str">
        <f>VLOOKUP($A5,CON!$B$2:$AZ$24,B$1,FALSE)</f>
        <v>Ronald Harmon</v>
      </c>
      <c r="C5" s="204">
        <f>VLOOKUP($A5,CON!$B$2:$AZ$24,C$1,FALSE)</f>
        <v>7.6805555555555554</v>
      </c>
      <c r="D5" s="128" t="str">
        <f>VLOOKUP($A5,CON!$T$27:$X$34,D$1,FALSE)&amp;" / "&amp;VLOOKUP($A5,CON!$T$27:$X$34,D$1+1,FALSE)</f>
        <v>9 / 6</v>
      </c>
      <c r="E5" s="129">
        <f>VLOOKUP(B5,CON!$C$2:$D$24,$E$1,FALSE)</f>
        <v>31</v>
      </c>
      <c r="F5" s="129"/>
      <c r="G5" s="181" t="s">
        <v>600</v>
      </c>
      <c r="H5" s="154" t="s">
        <v>600</v>
      </c>
      <c r="I5" s="154" t="s">
        <v>600</v>
      </c>
      <c r="J5" s="202" t="s">
        <v>600</v>
      </c>
      <c r="K5" s="99"/>
      <c r="L5" s="133" t="s">
        <v>41</v>
      </c>
      <c r="M5" s="139"/>
      <c r="N5" s="128">
        <f t="shared" ref="N5:N11" si="0">IF(M5="",0,LEN(M5)-LEN(SUBSTITUTE(M5,",",""))+1)</f>
        <v>0</v>
      </c>
      <c r="O5" s="128">
        <v>1</v>
      </c>
      <c r="P5" s="129">
        <f t="shared" ref="P5:P12" si="1">N5-O5</f>
        <v>-1</v>
      </c>
      <c r="Q5" s="133" t="s">
        <v>356</v>
      </c>
      <c r="R5" s="139"/>
      <c r="S5" s="128">
        <f t="shared" ref="S5:S11" si="2">IF(R5="",0,LEN(R5)-LEN(SUBSTITUTE(R5,",",""))+1)</f>
        <v>0</v>
      </c>
      <c r="T5" s="128">
        <v>1</v>
      </c>
      <c r="U5" s="129">
        <f t="shared" ref="U5:U12" si="3">S5-T5</f>
        <v>-1</v>
      </c>
      <c r="V5" s="99">
        <f t="shared" ref="V5:V12" si="4">MIN(P5,P5+U5)</f>
        <v>-2</v>
      </c>
      <c r="W5" s="99" t="s">
        <v>94</v>
      </c>
    </row>
    <row r="6" spans="1:23">
      <c r="A6" s="99" t="s">
        <v>95</v>
      </c>
      <c r="B6" s="154" t="str">
        <f>VLOOKUP($A6,CON!$B$2:$AZ$24,B$1,FALSE)</f>
        <v>Dave Wells</v>
      </c>
      <c r="C6" s="204">
        <f>VLOOKUP($A6,CON!$B$2:$AZ$24,C$1,FALSE)</f>
        <v>6.4444444444444446</v>
      </c>
      <c r="D6" s="128" t="str">
        <f>VLOOKUP($A6,CON!$T$27:$X$34,D$1,FALSE)&amp;" / "&amp;VLOOKUP($A6,CON!$T$27:$X$34,D$1+1,FALSE)</f>
        <v>7 / 5</v>
      </c>
      <c r="E6" s="129">
        <f>VLOOKUP(B6,CON!$C$2:$D$24,$E$1,FALSE)</f>
        <v>29</v>
      </c>
      <c r="F6" s="129"/>
      <c r="G6" s="181" t="s">
        <v>51</v>
      </c>
      <c r="H6" s="154" t="s">
        <v>51</v>
      </c>
      <c r="I6" s="154" t="s">
        <v>51</v>
      </c>
      <c r="J6" s="202" t="s">
        <v>51</v>
      </c>
      <c r="K6" s="99"/>
      <c r="L6" s="133" t="s">
        <v>256</v>
      </c>
      <c r="M6" s="139"/>
      <c r="N6" s="128">
        <f t="shared" si="0"/>
        <v>0</v>
      </c>
      <c r="O6" s="128">
        <v>1</v>
      </c>
      <c r="P6" s="129">
        <f t="shared" si="1"/>
        <v>-1</v>
      </c>
      <c r="Q6" s="133" t="s">
        <v>256</v>
      </c>
      <c r="R6" s="139"/>
      <c r="S6" s="128">
        <f t="shared" si="2"/>
        <v>0</v>
      </c>
      <c r="T6" s="128">
        <v>2</v>
      </c>
      <c r="U6" s="129">
        <f t="shared" si="3"/>
        <v>-2</v>
      </c>
      <c r="V6" s="99">
        <f t="shared" si="4"/>
        <v>-3</v>
      </c>
      <c r="W6" s="99" t="s">
        <v>95</v>
      </c>
    </row>
    <row r="7" spans="1:23">
      <c r="A7" s="99" t="s">
        <v>96</v>
      </c>
      <c r="B7" s="154" t="str">
        <f>VLOOKUP($A7,CON!$B$2:$AZ$24,B$1,FALSE)</f>
        <v>Eric Jacobs</v>
      </c>
      <c r="C7" s="204">
        <f>VLOOKUP($A7,CON!$B$2:$AZ$24,C$1,FALSE)</f>
        <v>5.2638888888888893</v>
      </c>
      <c r="D7" s="128" t="str">
        <f>VLOOKUP($A7,CON!$T$27:$X$34,D$1,FALSE)&amp;" / "&amp;VLOOKUP($A7,CON!$T$27:$X$34,D$1+1,FALSE)</f>
        <v>8 / 9</v>
      </c>
      <c r="E7" s="129">
        <f>VLOOKUP(B7,CON!$C$2:$D$24,$E$1,FALSE)</f>
        <v>24</v>
      </c>
      <c r="F7" s="129"/>
      <c r="G7" s="181" t="s">
        <v>543</v>
      </c>
      <c r="H7" s="154" t="s">
        <v>542</v>
      </c>
      <c r="I7" s="154"/>
      <c r="J7" s="202"/>
      <c r="K7" s="99" t="s">
        <v>386</v>
      </c>
      <c r="L7" s="133" t="s">
        <v>251</v>
      </c>
      <c r="M7" s="139"/>
      <c r="N7" s="128">
        <f t="shared" si="0"/>
        <v>0</v>
      </c>
      <c r="O7" s="128">
        <v>1</v>
      </c>
      <c r="P7" s="129">
        <f t="shared" si="1"/>
        <v>-1</v>
      </c>
      <c r="Q7" s="133" t="s">
        <v>257</v>
      </c>
      <c r="R7" s="139"/>
      <c r="S7" s="128">
        <f t="shared" si="2"/>
        <v>0</v>
      </c>
      <c r="T7" s="128">
        <v>2</v>
      </c>
      <c r="U7" s="129">
        <f t="shared" si="3"/>
        <v>-2</v>
      </c>
      <c r="V7" s="99">
        <f t="shared" si="4"/>
        <v>-3</v>
      </c>
      <c r="W7" s="99" t="s">
        <v>96</v>
      </c>
    </row>
    <row r="8" spans="1:23">
      <c r="A8" s="99" t="s">
        <v>97</v>
      </c>
      <c r="B8" s="154" t="str">
        <f>VLOOKUP($A8,CON!$B$2:$AZ$24,B$1,FALSE)</f>
        <v>Ronald Lowry</v>
      </c>
      <c r="C8" s="204">
        <f>VLOOKUP($A8,CON!$B$2:$AZ$24,C$1,FALSE)</f>
        <v>8.0277777777777786</v>
      </c>
      <c r="D8" s="128" t="str">
        <f>VLOOKUP($A8,CON!$T$27:$X$34,D$1,FALSE)&amp;" / "&amp;VLOOKUP($A8,CON!$T$27:$X$34,D$1+1,FALSE)</f>
        <v>7 / 8</v>
      </c>
      <c r="E8" s="129">
        <f>VLOOKUP(B8,CON!$C$2:$D$24,$E$1,FALSE)</f>
        <v>31</v>
      </c>
      <c r="F8" s="129"/>
      <c r="G8" s="181" t="s">
        <v>543</v>
      </c>
      <c r="H8" s="154"/>
      <c r="I8" s="154"/>
      <c r="J8" s="202"/>
      <c r="K8" s="99"/>
      <c r="L8" s="133" t="s">
        <v>252</v>
      </c>
      <c r="M8" s="139"/>
      <c r="N8" s="128">
        <f t="shared" si="0"/>
        <v>0</v>
      </c>
      <c r="O8" s="128">
        <v>1</v>
      </c>
      <c r="P8" s="129">
        <f t="shared" si="1"/>
        <v>-1</v>
      </c>
      <c r="Q8" s="133" t="s">
        <v>250</v>
      </c>
      <c r="R8" s="139"/>
      <c r="S8" s="128">
        <f t="shared" si="2"/>
        <v>0</v>
      </c>
      <c r="T8" s="128">
        <v>2</v>
      </c>
      <c r="U8" s="129">
        <f t="shared" si="3"/>
        <v>-2</v>
      </c>
      <c r="V8" s="99">
        <f t="shared" si="4"/>
        <v>-3</v>
      </c>
      <c r="W8" s="99" t="s">
        <v>97</v>
      </c>
    </row>
    <row r="9" spans="1:23">
      <c r="A9" s="99" t="s">
        <v>98</v>
      </c>
      <c r="B9" s="154" t="str">
        <f>VLOOKUP($A9,CON!$B$2:$AZ$24,B$1,FALSE)</f>
        <v>Russell Wright</v>
      </c>
      <c r="C9" s="204">
        <f>VLOOKUP($A9,CON!$B$2:$AZ$24,C$1,FALSE)</f>
        <v>7.3055555555555554</v>
      </c>
      <c r="D9" s="128" t="str">
        <f>VLOOKUP($A9,CON!$T$27:$X$34,D$1,FALSE)&amp;" / "&amp;VLOOKUP($A9,CON!$T$27:$X$34,D$1+1,FALSE)</f>
        <v>10 / 4</v>
      </c>
      <c r="E9" s="129">
        <f>VLOOKUP(B9,CON!$C$2:$D$24,$E$1,FALSE)</f>
        <v>27</v>
      </c>
      <c r="F9" s="129"/>
      <c r="G9" s="181" t="s">
        <v>408</v>
      </c>
      <c r="H9" s="154" t="s">
        <v>408</v>
      </c>
      <c r="I9" s="154"/>
      <c r="J9" s="154"/>
      <c r="K9" s="99"/>
      <c r="L9" s="133" t="s">
        <v>253</v>
      </c>
      <c r="M9" s="139"/>
      <c r="N9" s="128">
        <f t="shared" si="0"/>
        <v>0</v>
      </c>
      <c r="O9" s="128">
        <v>1</v>
      </c>
      <c r="P9" s="129">
        <f t="shared" si="1"/>
        <v>-1</v>
      </c>
      <c r="Q9" s="133" t="s">
        <v>252</v>
      </c>
      <c r="R9" s="142"/>
      <c r="S9" s="128">
        <f t="shared" si="2"/>
        <v>0</v>
      </c>
      <c r="T9" s="128">
        <v>1</v>
      </c>
      <c r="U9" s="129">
        <f t="shared" si="3"/>
        <v>-1</v>
      </c>
      <c r="V9" s="99">
        <f t="shared" si="4"/>
        <v>-2</v>
      </c>
      <c r="W9" s="99" t="s">
        <v>98</v>
      </c>
    </row>
    <row r="10" spans="1:23">
      <c r="A10" s="99" t="s">
        <v>99</v>
      </c>
      <c r="B10" s="154" t="str">
        <f>VLOOKUP($A10,CON!$B$2:$AZ$24,B$1,FALSE)</f>
        <v>En-guo Guao</v>
      </c>
      <c r="C10" s="204">
        <f>VLOOKUP($A10,CON!$B$2:$AZ$24,C$1,FALSE)</f>
        <v>6.25</v>
      </c>
      <c r="D10" s="128" t="str">
        <f>VLOOKUP($A10,CON!$T$27:$X$34,D$1,FALSE)&amp;" / "&amp;VLOOKUP($A10,CON!$T$27:$X$34,D$1+1,FALSE)</f>
        <v>10 / 9</v>
      </c>
      <c r="E10" s="129">
        <f>VLOOKUP(B10,CON!$C$2:$D$24,$E$1,FALSE)</f>
        <v>28</v>
      </c>
      <c r="F10" s="129"/>
      <c r="G10" s="181" t="s">
        <v>594</v>
      </c>
      <c r="H10" s="154" t="s">
        <v>594</v>
      </c>
      <c r="I10" s="154" t="s">
        <v>594</v>
      </c>
      <c r="J10" s="202"/>
      <c r="K10" s="99" t="s">
        <v>381</v>
      </c>
      <c r="L10" s="133" t="s">
        <v>252</v>
      </c>
      <c r="M10" s="139"/>
      <c r="N10" s="128">
        <f t="shared" si="0"/>
        <v>0</v>
      </c>
      <c r="O10" s="128">
        <v>1</v>
      </c>
      <c r="P10" s="129">
        <f t="shared" si="1"/>
        <v>-1</v>
      </c>
      <c r="Q10" s="133" t="s">
        <v>256</v>
      </c>
      <c r="R10" s="139"/>
      <c r="S10" s="128">
        <f t="shared" si="2"/>
        <v>0</v>
      </c>
      <c r="T10" s="128">
        <v>1</v>
      </c>
      <c r="U10" s="129">
        <f t="shared" si="3"/>
        <v>-1</v>
      </c>
      <c r="V10" s="99">
        <f t="shared" si="4"/>
        <v>-2</v>
      </c>
      <c r="W10" s="99" t="s">
        <v>99</v>
      </c>
    </row>
    <row r="11" spans="1:23">
      <c r="A11" s="99" t="s">
        <v>100</v>
      </c>
      <c r="B11" s="154" t="str">
        <f>VLOOKUP($A11,CON!$B$2:$AZ$24,B$1,FALSE)</f>
        <v>John Martin</v>
      </c>
      <c r="C11" s="204">
        <f>VLOOKUP($A11,CON!$B$2:$AZ$24,C$1,FALSE)</f>
        <v>7.208333333333333</v>
      </c>
      <c r="D11" s="128" t="str">
        <f>VLOOKUP($A11,CON!$T$27:$X$34,D$1,FALSE)&amp;" / "&amp;VLOOKUP($A11,CON!$T$27:$X$34,D$1+1,FALSE)</f>
        <v>10 / 10</v>
      </c>
      <c r="E11" s="129">
        <f>VLOOKUP(B11,CON!$C$2:$D$24,$E$1,FALSE)</f>
        <v>25</v>
      </c>
      <c r="F11" s="129"/>
      <c r="G11" s="181" t="s">
        <v>381</v>
      </c>
      <c r="H11" s="154" t="s">
        <v>381</v>
      </c>
      <c r="I11" s="154" t="s">
        <v>381</v>
      </c>
      <c r="J11" s="202"/>
      <c r="K11" s="99"/>
      <c r="L11" s="133" t="s">
        <v>254</v>
      </c>
      <c r="M11" s="139"/>
      <c r="N11" s="128">
        <f t="shared" si="0"/>
        <v>0</v>
      </c>
      <c r="O11" s="128">
        <v>1</v>
      </c>
      <c r="P11" s="129">
        <f t="shared" si="1"/>
        <v>-1</v>
      </c>
      <c r="Q11" s="133" t="s">
        <v>258</v>
      </c>
      <c r="R11" s="142"/>
      <c r="S11" s="128">
        <f t="shared" si="2"/>
        <v>0</v>
      </c>
      <c r="T11" s="128">
        <v>1</v>
      </c>
      <c r="U11" s="129">
        <f t="shared" si="3"/>
        <v>-1</v>
      </c>
      <c r="V11" s="99">
        <f t="shared" si="4"/>
        <v>-2</v>
      </c>
      <c r="W11" s="99" t="s">
        <v>100</v>
      </c>
    </row>
    <row r="12" spans="1:23">
      <c r="A12" s="100" t="s">
        <v>18</v>
      </c>
      <c r="B12" s="155" t="str">
        <f>VLOOKUP($A12,CON!$B$2:$AZ$24,B$1,FALSE)</f>
        <v>Jesús Santos</v>
      </c>
      <c r="C12" s="205">
        <f>VLOOKUP($A12,CON!$B$2:$AZ$24,C$1,FALSE)</f>
        <v>6.3055555555555554</v>
      </c>
      <c r="D12" s="130" t="s">
        <v>41</v>
      </c>
      <c r="E12" s="131">
        <f>VLOOKUP(B12,CON!$C$2:$D$24,$E$1,FALSE)</f>
        <v>29</v>
      </c>
      <c r="F12" s="131"/>
      <c r="G12" s="182" t="s">
        <v>440</v>
      </c>
      <c r="H12" s="155" t="s">
        <v>440</v>
      </c>
      <c r="I12" s="155" t="s">
        <v>440</v>
      </c>
      <c r="J12" s="203"/>
      <c r="K12" s="100" t="s">
        <v>440</v>
      </c>
      <c r="L12" s="134" t="s">
        <v>41</v>
      </c>
      <c r="M12" s="140"/>
      <c r="N12" s="130">
        <f>SUMIF(P3:P11,"&gt;0")+IF(M12="",0,LEN(M12)-LEN(SUBSTITUTE(M12,",",""))+1)</f>
        <v>0</v>
      </c>
      <c r="O12" s="130">
        <v>1</v>
      </c>
      <c r="P12" s="131">
        <f t="shared" si="1"/>
        <v>-1</v>
      </c>
      <c r="Q12" s="134" t="s">
        <v>41</v>
      </c>
      <c r="R12" s="140"/>
      <c r="S12" s="130">
        <f>SUMIF(U3:U11,"&gt;0")+IF(R12="",0,LEN(R12)-LEN(SUBSTITUTE(R12,",",""))+1)</f>
        <v>0</v>
      </c>
      <c r="T12" s="130">
        <v>0</v>
      </c>
      <c r="U12" s="131">
        <f t="shared" si="3"/>
        <v>0</v>
      </c>
      <c r="V12" s="100">
        <f t="shared" si="4"/>
        <v>-1</v>
      </c>
      <c r="W12" s="100" t="s">
        <v>18</v>
      </c>
    </row>
    <row r="15" spans="1:23">
      <c r="L15" s="351" t="s">
        <v>352</v>
      </c>
      <c r="M15" s="352"/>
      <c r="N15" s="352"/>
      <c r="O15" s="352"/>
      <c r="P15" s="353"/>
      <c r="Q15" s="351" t="s">
        <v>353</v>
      </c>
      <c r="R15" s="352"/>
      <c r="S15" s="352"/>
      <c r="T15" s="352"/>
      <c r="U15" s="353"/>
      <c r="V15" s="124" t="s">
        <v>255</v>
      </c>
    </row>
    <row r="16" spans="1:23">
      <c r="K16" s="123" t="s">
        <v>119</v>
      </c>
      <c r="L16" s="132" t="s">
        <v>248</v>
      </c>
      <c r="M16" s="138" t="s">
        <v>243</v>
      </c>
      <c r="N16" s="125" t="s">
        <v>244</v>
      </c>
      <c r="O16" s="125" t="s">
        <v>245</v>
      </c>
      <c r="P16" s="126" t="s">
        <v>247</v>
      </c>
      <c r="Q16" s="132" t="s">
        <v>248</v>
      </c>
      <c r="R16" s="138" t="s">
        <v>243</v>
      </c>
      <c r="S16" s="125" t="s">
        <v>244</v>
      </c>
      <c r="T16" s="125" t="s">
        <v>245</v>
      </c>
      <c r="U16" s="126" t="s">
        <v>246</v>
      </c>
      <c r="V16" s="127" t="s">
        <v>247</v>
      </c>
      <c r="W16" s="123" t="s">
        <v>119</v>
      </c>
    </row>
    <row r="17" spans="1:23">
      <c r="K17" s="99" t="s">
        <v>92</v>
      </c>
      <c r="L17" s="133" t="s">
        <v>251</v>
      </c>
      <c r="M17" s="139"/>
      <c r="N17" s="128">
        <f>IF(M17="",0,LEN(M17)-LEN(SUBSTITUTE(M17,",",""))+1)</f>
        <v>0</v>
      </c>
      <c r="O17" s="128">
        <v>2</v>
      </c>
      <c r="P17" s="129">
        <f>N17-O17</f>
        <v>-2</v>
      </c>
      <c r="Q17" s="133" t="s">
        <v>249</v>
      </c>
      <c r="R17" s="139"/>
      <c r="S17" s="128">
        <f>IF(R17="",0,LEN(R17)-LEN(SUBSTITUTE(R17,",",""))+1)</f>
        <v>0</v>
      </c>
      <c r="T17" s="128">
        <v>4</v>
      </c>
      <c r="U17" s="129">
        <f>S17-T17</f>
        <v>-4</v>
      </c>
      <c r="V17" s="99">
        <f>MIN(P17,P17+U17)</f>
        <v>-6</v>
      </c>
      <c r="W17" s="99" t="s">
        <v>92</v>
      </c>
    </row>
    <row r="18" spans="1:23">
      <c r="K18" s="99" t="s">
        <v>94</v>
      </c>
      <c r="L18" s="133" t="s">
        <v>41</v>
      </c>
      <c r="M18" s="139" t="s">
        <v>640</v>
      </c>
      <c r="N18" s="128">
        <f t="shared" ref="N18:N24" si="5">IF(M18="",0,LEN(M18)-LEN(SUBSTITUTE(M18,",",""))+1)</f>
        <v>3</v>
      </c>
      <c r="O18" s="128">
        <v>2</v>
      </c>
      <c r="P18" s="129">
        <f t="shared" ref="P18:P25" si="6">N18-O18</f>
        <v>1</v>
      </c>
      <c r="Q18" s="133" t="s">
        <v>356</v>
      </c>
      <c r="R18" s="139"/>
      <c r="S18" s="128">
        <f t="shared" ref="S18:S24" si="7">IF(R18="",0,LEN(R18)-LEN(SUBSTITUTE(R18,",",""))+1)</f>
        <v>0</v>
      </c>
      <c r="T18" s="128">
        <v>2</v>
      </c>
      <c r="U18" s="129">
        <f t="shared" ref="U18:U25" si="8">S18-T18</f>
        <v>-2</v>
      </c>
      <c r="V18" s="99">
        <f t="shared" ref="V18:V25" si="9">MIN(P18,P18+U18)</f>
        <v>-1</v>
      </c>
      <c r="W18" s="99" t="s">
        <v>94</v>
      </c>
    </row>
    <row r="19" spans="1:23">
      <c r="K19" s="99" t="s">
        <v>95</v>
      </c>
      <c r="L19" s="133" t="s">
        <v>256</v>
      </c>
      <c r="M19" s="139"/>
      <c r="N19" s="128">
        <f t="shared" si="5"/>
        <v>0</v>
      </c>
      <c r="O19" s="128">
        <v>2</v>
      </c>
      <c r="P19" s="129">
        <f t="shared" si="6"/>
        <v>-2</v>
      </c>
      <c r="Q19" s="133" t="s">
        <v>256</v>
      </c>
      <c r="R19" s="139"/>
      <c r="S19" s="128">
        <f t="shared" si="7"/>
        <v>0</v>
      </c>
      <c r="T19" s="128">
        <v>4</v>
      </c>
      <c r="U19" s="129">
        <f t="shared" si="8"/>
        <v>-4</v>
      </c>
      <c r="V19" s="99">
        <f t="shared" si="9"/>
        <v>-6</v>
      </c>
      <c r="W19" s="99" t="s">
        <v>95</v>
      </c>
    </row>
    <row r="20" spans="1:23">
      <c r="K20" s="99" t="s">
        <v>96</v>
      </c>
      <c r="L20" s="133" t="s">
        <v>251</v>
      </c>
      <c r="M20" s="139" t="s">
        <v>386</v>
      </c>
      <c r="N20" s="128">
        <f t="shared" si="5"/>
        <v>1</v>
      </c>
      <c r="O20" s="128">
        <v>2</v>
      </c>
      <c r="P20" s="129">
        <f t="shared" si="6"/>
        <v>-1</v>
      </c>
      <c r="Q20" s="133" t="s">
        <v>257</v>
      </c>
      <c r="R20" s="139"/>
      <c r="S20" s="128">
        <f t="shared" si="7"/>
        <v>0</v>
      </c>
      <c r="T20" s="128">
        <v>4</v>
      </c>
      <c r="U20" s="129">
        <f t="shared" si="8"/>
        <v>-4</v>
      </c>
      <c r="V20" s="99">
        <f t="shared" si="9"/>
        <v>-5</v>
      </c>
      <c r="W20" s="99" t="s">
        <v>96</v>
      </c>
    </row>
    <row r="21" spans="1:23">
      <c r="K21" s="99" t="s">
        <v>97</v>
      </c>
      <c r="L21" s="133" t="s">
        <v>252</v>
      </c>
      <c r="M21" s="139"/>
      <c r="N21" s="128">
        <f t="shared" si="5"/>
        <v>0</v>
      </c>
      <c r="O21" s="128">
        <v>2</v>
      </c>
      <c r="P21" s="129">
        <f t="shared" si="6"/>
        <v>-2</v>
      </c>
      <c r="Q21" s="133" t="s">
        <v>250</v>
      </c>
      <c r="R21" s="139"/>
      <c r="S21" s="128">
        <f t="shared" si="7"/>
        <v>0</v>
      </c>
      <c r="T21" s="128">
        <v>4</v>
      </c>
      <c r="U21" s="129">
        <f t="shared" si="8"/>
        <v>-4</v>
      </c>
      <c r="V21" s="99">
        <f t="shared" si="9"/>
        <v>-6</v>
      </c>
      <c r="W21" s="99" t="s">
        <v>97</v>
      </c>
    </row>
    <row r="22" spans="1:23">
      <c r="K22" s="99" t="s">
        <v>98</v>
      </c>
      <c r="L22" s="133" t="s">
        <v>253</v>
      </c>
      <c r="M22" s="139" t="s">
        <v>639</v>
      </c>
      <c r="N22" s="128">
        <f t="shared" si="5"/>
        <v>2</v>
      </c>
      <c r="O22" s="128">
        <v>2</v>
      </c>
      <c r="P22" s="129">
        <f t="shared" si="6"/>
        <v>0</v>
      </c>
      <c r="Q22" s="133" t="s">
        <v>252</v>
      </c>
      <c r="R22" s="142"/>
      <c r="S22" s="128">
        <f t="shared" si="7"/>
        <v>0</v>
      </c>
      <c r="T22" s="128">
        <v>2</v>
      </c>
      <c r="U22" s="129">
        <f t="shared" si="8"/>
        <v>-2</v>
      </c>
      <c r="V22" s="99">
        <f t="shared" si="9"/>
        <v>-2</v>
      </c>
      <c r="W22" s="99" t="s">
        <v>98</v>
      </c>
    </row>
    <row r="23" spans="1:23">
      <c r="K23" s="99" t="s">
        <v>99</v>
      </c>
      <c r="L23" s="133" t="s">
        <v>252</v>
      </c>
      <c r="M23" s="139" t="s">
        <v>381</v>
      </c>
      <c r="N23" s="128">
        <f t="shared" si="5"/>
        <v>1</v>
      </c>
      <c r="O23" s="128">
        <v>2</v>
      </c>
      <c r="P23" s="129">
        <f t="shared" si="6"/>
        <v>-1</v>
      </c>
      <c r="Q23" s="133" t="s">
        <v>256</v>
      </c>
      <c r="R23" s="139"/>
      <c r="S23" s="128">
        <f t="shared" si="7"/>
        <v>0</v>
      </c>
      <c r="T23" s="128">
        <v>4</v>
      </c>
      <c r="U23" s="129">
        <f t="shared" si="8"/>
        <v>-4</v>
      </c>
      <c r="V23" s="99">
        <f t="shared" si="9"/>
        <v>-5</v>
      </c>
      <c r="W23" s="99" t="s">
        <v>99</v>
      </c>
    </row>
    <row r="24" spans="1:23">
      <c r="K24" s="99" t="s">
        <v>100</v>
      </c>
      <c r="L24" s="133" t="s">
        <v>254</v>
      </c>
      <c r="M24" s="139" t="s">
        <v>492</v>
      </c>
      <c r="N24" s="128">
        <f t="shared" si="5"/>
        <v>2</v>
      </c>
      <c r="O24" s="128">
        <v>2</v>
      </c>
      <c r="P24" s="129">
        <f t="shared" si="6"/>
        <v>0</v>
      </c>
      <c r="Q24" s="133" t="s">
        <v>258</v>
      </c>
      <c r="R24" s="142"/>
      <c r="S24" s="128">
        <f t="shared" si="7"/>
        <v>0</v>
      </c>
      <c r="T24" s="128">
        <v>2</v>
      </c>
      <c r="U24" s="129">
        <f t="shared" si="8"/>
        <v>-2</v>
      </c>
      <c r="V24" s="99">
        <f t="shared" si="9"/>
        <v>-2</v>
      </c>
      <c r="W24" s="99" t="s">
        <v>100</v>
      </c>
    </row>
    <row r="25" spans="1:23">
      <c r="K25" s="100" t="s">
        <v>18</v>
      </c>
      <c r="L25" s="134" t="s">
        <v>41</v>
      </c>
      <c r="M25" s="140"/>
      <c r="N25" s="130">
        <f>MAX(0,SUM(N17:N24)-8)+IF(M25="",0,LEN(M25)-LEN(SUBSTITUTE(M25,",",""))+1)</f>
        <v>1</v>
      </c>
      <c r="O25" s="130">
        <v>2</v>
      </c>
      <c r="P25" s="131">
        <f t="shared" si="6"/>
        <v>-1</v>
      </c>
      <c r="Q25" s="134" t="s">
        <v>41</v>
      </c>
      <c r="R25" s="140"/>
      <c r="S25" s="130">
        <f>MAX(0,SUM(S17:S24)-16)+IF(R25="",0,LEN(R25)-LEN(SUBSTITUTE(R25,",",""))+1)</f>
        <v>0</v>
      </c>
      <c r="T25" s="130">
        <v>0</v>
      </c>
      <c r="U25" s="131">
        <f t="shared" si="8"/>
        <v>0</v>
      </c>
      <c r="V25" s="100">
        <f t="shared" si="9"/>
        <v>-1</v>
      </c>
      <c r="W25" s="100" t="s">
        <v>18</v>
      </c>
    </row>
    <row r="28" spans="1:23" s="1" customFormat="1">
      <c r="A28" s="122"/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351" t="s">
        <v>354</v>
      </c>
      <c r="M28" s="352"/>
      <c r="N28" s="352"/>
      <c r="O28" s="352"/>
      <c r="P28" s="353"/>
      <c r="Q28" s="351" t="s">
        <v>360</v>
      </c>
      <c r="R28" s="352"/>
      <c r="S28" s="352"/>
      <c r="T28" s="352"/>
      <c r="U28" s="353"/>
      <c r="V28" s="124" t="s">
        <v>255</v>
      </c>
      <c r="W28" s="122"/>
    </row>
    <row r="29" spans="1:23" s="1" customFormat="1">
      <c r="A29" s="123" t="s">
        <v>119</v>
      </c>
      <c r="B29" s="135">
        <f>B3</f>
        <v>2019</v>
      </c>
      <c r="C29" s="136" t="s">
        <v>146</v>
      </c>
      <c r="D29" s="135" t="s">
        <v>298</v>
      </c>
      <c r="E29" s="137" t="s">
        <v>91</v>
      </c>
      <c r="F29" s="137" t="s">
        <v>238</v>
      </c>
      <c r="G29" s="136">
        <f>B29+1</f>
        <v>2020</v>
      </c>
      <c r="H29" s="135">
        <f>G29+1</f>
        <v>2021</v>
      </c>
      <c r="I29" s="135">
        <f>H29+1</f>
        <v>2022</v>
      </c>
      <c r="J29" s="135">
        <f>I29+1</f>
        <v>2023</v>
      </c>
      <c r="K29" s="123" t="s">
        <v>335</v>
      </c>
      <c r="L29" s="132" t="s">
        <v>355</v>
      </c>
      <c r="M29" s="138" t="s">
        <v>243</v>
      </c>
      <c r="N29" s="125" t="s">
        <v>244</v>
      </c>
      <c r="O29" s="125" t="s">
        <v>245</v>
      </c>
      <c r="P29" s="126" t="s">
        <v>247</v>
      </c>
      <c r="Q29" s="132" t="s">
        <v>355</v>
      </c>
      <c r="R29" s="138" t="s">
        <v>243</v>
      </c>
      <c r="S29" s="125" t="s">
        <v>244</v>
      </c>
      <c r="T29" s="125" t="s">
        <v>245</v>
      </c>
      <c r="U29" s="126" t="s">
        <v>246</v>
      </c>
      <c r="V29" s="127" t="s">
        <v>247</v>
      </c>
      <c r="W29" s="123" t="s">
        <v>119</v>
      </c>
    </row>
    <row r="30" spans="1:23">
      <c r="A30" s="99" t="s">
        <v>108</v>
      </c>
      <c r="B30" s="154" t="str">
        <f>CON!C53</f>
        <v>Carlos Rivera</v>
      </c>
      <c r="C30" s="133"/>
      <c r="D30" s="128"/>
      <c r="E30" s="129">
        <f>VLOOKUP(B30,CON!$C$52:$D$70,$E$1,FALSE)</f>
        <v>25</v>
      </c>
      <c r="F30" s="129" t="s">
        <v>577</v>
      </c>
      <c r="G30" s="133" t="s">
        <v>4</v>
      </c>
      <c r="H30" s="128" t="s">
        <v>4</v>
      </c>
      <c r="I30" s="128" t="s">
        <v>4</v>
      </c>
      <c r="J30" s="128"/>
      <c r="K30" s="99"/>
      <c r="L30" s="133">
        <v>8</v>
      </c>
      <c r="M30" s="139"/>
      <c r="N30" s="128">
        <f>IF(M30="",0,LEN(M30)-LEN(SUBSTITUTE(M30,",",""))+1)</f>
        <v>0</v>
      </c>
      <c r="O30" s="128">
        <v>2</v>
      </c>
      <c r="P30" s="129">
        <f>N30-O30</f>
        <v>-2</v>
      </c>
      <c r="Q30" s="133">
        <f>L30</f>
        <v>8</v>
      </c>
      <c r="R30" s="139"/>
      <c r="S30" s="128">
        <f>IF(R30="",0,LEN(R30)-LEN(SUBSTITUTE(R30,",",""))+1)</f>
        <v>0</v>
      </c>
      <c r="T30" s="128">
        <v>2</v>
      </c>
      <c r="U30" s="129">
        <f>S30-T30</f>
        <v>-2</v>
      </c>
      <c r="V30" s="99">
        <f>MIN(P30,P30+U30)</f>
        <v>-4</v>
      </c>
      <c r="W30" s="99" t="s">
        <v>108</v>
      </c>
    </row>
    <row r="31" spans="1:23">
      <c r="A31" s="99" t="s">
        <v>108</v>
      </c>
      <c r="B31" s="128" t="str">
        <f>CON!C54</f>
        <v>Luis Gusmán</v>
      </c>
      <c r="C31" s="133"/>
      <c r="D31" s="128"/>
      <c r="E31" s="129">
        <f>VLOOKUP(B31,CON!$C$52:$D$70,$E$1,FALSE)</f>
        <v>26</v>
      </c>
      <c r="F31" s="129" t="s">
        <v>577</v>
      </c>
      <c r="G31" s="133" t="s">
        <v>334</v>
      </c>
      <c r="H31" s="128" t="s">
        <v>334</v>
      </c>
      <c r="I31" s="128" t="s">
        <v>334</v>
      </c>
      <c r="J31" s="128" t="s">
        <v>334</v>
      </c>
      <c r="K31" s="99"/>
      <c r="L31" s="133">
        <v>7</v>
      </c>
      <c r="M31" s="139"/>
      <c r="N31" s="128">
        <f>IF(M31="",0,LEN(M31)-LEN(SUBSTITUTE(M31,",",""))+1)+IF(P30&gt;0,P30,0)</f>
        <v>0</v>
      </c>
      <c r="O31" s="128">
        <v>1</v>
      </c>
      <c r="P31" s="129">
        <f t="shared" ref="P31:P37" si="10">N31-O31</f>
        <v>-1</v>
      </c>
      <c r="Q31" s="133">
        <f t="shared" ref="Q31:Q32" si="11">L31</f>
        <v>7</v>
      </c>
      <c r="R31" s="139"/>
      <c r="S31" s="128">
        <f>IF(R31="",0,LEN(R31)-LEN(SUBSTITUTE(R31,",",""))+1)+IF(U30&gt;0,U30,0)</f>
        <v>0</v>
      </c>
      <c r="T31" s="128">
        <v>1</v>
      </c>
      <c r="U31" s="129">
        <f t="shared" ref="U31:U37" si="12">S31-T31</f>
        <v>-1</v>
      </c>
      <c r="V31" s="99">
        <f t="shared" ref="V31:V37" si="13">MIN(P31,P31+U31)</f>
        <v>-2</v>
      </c>
      <c r="W31" s="99" t="s">
        <v>108</v>
      </c>
    </row>
    <row r="32" spans="1:23">
      <c r="A32" s="99" t="s">
        <v>108</v>
      </c>
      <c r="B32" s="128" t="str">
        <f>CON!C55</f>
        <v>Niccolo Arcimboldo</v>
      </c>
      <c r="C32" s="133"/>
      <c r="D32" s="128"/>
      <c r="E32" s="129">
        <f>VLOOKUP(B32,CON!$C$52:$D$70,$E$1,FALSE)</f>
        <v>25</v>
      </c>
      <c r="F32" s="129" t="s">
        <v>577</v>
      </c>
      <c r="G32" s="133" t="s">
        <v>491</v>
      </c>
      <c r="H32" s="128" t="s">
        <v>491</v>
      </c>
      <c r="I32" s="128" t="s">
        <v>491</v>
      </c>
      <c r="J32" s="128"/>
      <c r="K32" s="99"/>
      <c r="L32" s="133">
        <v>6</v>
      </c>
      <c r="M32" s="139"/>
      <c r="N32" s="128">
        <f>IF(M32="",0,LEN(M32)-LEN(SUBSTITUTE(M32,",",""))+1)+IF(P31&gt;0,P31,0)</f>
        <v>0</v>
      </c>
      <c r="O32" s="128">
        <v>3</v>
      </c>
      <c r="P32" s="129">
        <f t="shared" si="10"/>
        <v>-3</v>
      </c>
      <c r="Q32" s="133">
        <f t="shared" si="11"/>
        <v>6</v>
      </c>
      <c r="R32" s="139"/>
      <c r="S32" s="128">
        <f>IF(R32="",0,LEN(R32)-LEN(SUBSTITUTE(R32,",",""))+1)+IF(U31&gt;0,U31,0)</f>
        <v>0</v>
      </c>
      <c r="T32" s="128">
        <v>3</v>
      </c>
      <c r="U32" s="129">
        <f t="shared" si="12"/>
        <v>-3</v>
      </c>
      <c r="V32" s="99">
        <f t="shared" si="13"/>
        <v>-6</v>
      </c>
      <c r="W32" s="99" t="s">
        <v>108</v>
      </c>
    </row>
    <row r="33" spans="1:23">
      <c r="A33" s="99" t="s">
        <v>108</v>
      </c>
      <c r="B33" s="128" t="str">
        <f>CON!C56</f>
        <v>Randolph Teague</v>
      </c>
      <c r="C33" s="133"/>
      <c r="D33" s="128"/>
      <c r="E33" s="129">
        <f>VLOOKUP(B33,CON!$C$52:$D$70,$E$1,FALSE)</f>
        <v>28</v>
      </c>
      <c r="F33" s="129" t="s">
        <v>577</v>
      </c>
      <c r="G33" s="133" t="s">
        <v>409</v>
      </c>
      <c r="H33" s="128" t="s">
        <v>409</v>
      </c>
      <c r="I33" s="128"/>
      <c r="J33" s="128"/>
      <c r="K33" s="99"/>
      <c r="L33" s="133"/>
      <c r="M33" s="139"/>
      <c r="N33" s="128"/>
      <c r="O33" s="128"/>
      <c r="P33" s="129"/>
      <c r="Q33" s="133"/>
      <c r="R33" s="139"/>
      <c r="S33" s="128"/>
      <c r="T33" s="128"/>
      <c r="U33" s="129"/>
      <c r="V33" s="99"/>
      <c r="W33" s="99"/>
    </row>
    <row r="34" spans="1:23">
      <c r="A34" s="99" t="s">
        <v>108</v>
      </c>
      <c r="B34" s="128" t="str">
        <f>CON!C57</f>
        <v>Gerardo Soto</v>
      </c>
      <c r="C34" s="133"/>
      <c r="D34" s="128"/>
      <c r="E34" s="129">
        <f>VLOOKUP(B34,CON!$C$52:$D$70,$E$1,FALSE)</f>
        <v>24</v>
      </c>
      <c r="F34" s="129" t="s">
        <v>578</v>
      </c>
      <c r="G34" s="133"/>
      <c r="H34" s="128" t="s">
        <v>528</v>
      </c>
      <c r="I34" s="128" t="s">
        <v>528</v>
      </c>
      <c r="J34" s="128" t="s">
        <v>528</v>
      </c>
      <c r="K34" s="99"/>
      <c r="L34" s="133"/>
      <c r="M34" s="139"/>
      <c r="N34" s="128"/>
      <c r="O34" s="128"/>
      <c r="P34" s="129"/>
      <c r="Q34" s="133"/>
      <c r="R34" s="139"/>
      <c r="S34" s="128"/>
      <c r="T34" s="128"/>
      <c r="U34" s="129"/>
      <c r="V34" s="99"/>
      <c r="W34" s="99"/>
    </row>
    <row r="35" spans="1:23">
      <c r="A35" s="99" t="s">
        <v>109</v>
      </c>
      <c r="B35" s="128" t="str">
        <f>CON!C61</f>
        <v>Conrad Shelton</v>
      </c>
      <c r="C35" s="133"/>
      <c r="D35" s="128"/>
      <c r="E35" s="129">
        <f>VLOOKUP(B35,CON!$C$52:$D$70,$E$1,FALSE)</f>
        <v>27</v>
      </c>
      <c r="F35" s="129" t="s">
        <v>578</v>
      </c>
      <c r="G35" s="181" t="s">
        <v>16</v>
      </c>
      <c r="H35" s="154" t="s">
        <v>16</v>
      </c>
      <c r="I35" s="154"/>
      <c r="J35" s="154"/>
      <c r="K35" s="206"/>
      <c r="L35" s="207"/>
      <c r="M35" s="208"/>
      <c r="N35" s="209"/>
      <c r="O35" s="209"/>
      <c r="P35" s="210"/>
      <c r="Q35" s="207"/>
      <c r="R35" s="211"/>
      <c r="S35" s="209"/>
      <c r="T35" s="209"/>
      <c r="U35" s="210"/>
      <c r="V35" s="206"/>
      <c r="W35" s="206"/>
    </row>
    <row r="36" spans="1:23">
      <c r="A36" s="99" t="s">
        <v>19</v>
      </c>
      <c r="B36" s="128" t="str">
        <f>CON!C62</f>
        <v>Alberto Flores</v>
      </c>
      <c r="C36" s="133"/>
      <c r="D36" s="128"/>
      <c r="E36" s="129">
        <f>VLOOKUP(B36,CON!$C$52:$D$70,$E$1,FALSE)</f>
        <v>29</v>
      </c>
      <c r="F36" s="129" t="s">
        <v>577</v>
      </c>
      <c r="G36" s="133" t="s">
        <v>49</v>
      </c>
      <c r="H36" s="128" t="s">
        <v>49</v>
      </c>
      <c r="I36" s="128"/>
      <c r="J36" s="128"/>
      <c r="K36" s="99"/>
      <c r="L36" s="133">
        <v>3</v>
      </c>
      <c r="M36" s="139"/>
      <c r="N36" s="128">
        <f t="shared" ref="N36" si="14">IF(M36="",0,LEN(M36)-LEN(SUBSTITUTE(M36,",",""))+1)</f>
        <v>0</v>
      </c>
      <c r="O36" s="128">
        <v>2</v>
      </c>
      <c r="P36" s="129">
        <f t="shared" si="10"/>
        <v>-2</v>
      </c>
      <c r="Q36" s="133">
        <f t="shared" ref="Q36:Q38" si="15">L36</f>
        <v>3</v>
      </c>
      <c r="R36" s="139"/>
      <c r="S36" s="128">
        <f t="shared" ref="S36" si="16">IF(R36="",0,LEN(R36)-LEN(SUBSTITUTE(R36,",",""))+1)</f>
        <v>0</v>
      </c>
      <c r="T36" s="128">
        <v>2</v>
      </c>
      <c r="U36" s="129">
        <f t="shared" si="12"/>
        <v>-2</v>
      </c>
      <c r="V36" s="99">
        <f t="shared" si="13"/>
        <v>-4</v>
      </c>
      <c r="W36" s="99" t="s">
        <v>19</v>
      </c>
    </row>
    <row r="37" spans="1:23">
      <c r="A37" s="99" t="s">
        <v>19</v>
      </c>
      <c r="B37" s="128" t="str">
        <f>CON!C65</f>
        <v>Will Young</v>
      </c>
      <c r="C37" s="133"/>
      <c r="D37" s="128"/>
      <c r="E37" s="129">
        <f>VLOOKUP(B37,CON!$C$52:$D$70,$E$1,FALSE)</f>
        <v>25</v>
      </c>
      <c r="F37" s="129" t="s">
        <v>578</v>
      </c>
      <c r="G37" s="133"/>
      <c r="H37" s="128"/>
      <c r="I37" s="128"/>
      <c r="J37" s="128"/>
      <c r="K37" s="99"/>
      <c r="L37" s="133">
        <v>2</v>
      </c>
      <c r="M37" s="139"/>
      <c r="N37" s="128">
        <f>IF(M37="",0,LEN(M37)-LEN(SUBSTITUTE(M37,",",""))+1)+IF(P36&gt;0,P36,0)</f>
        <v>0</v>
      </c>
      <c r="O37" s="128">
        <v>1</v>
      </c>
      <c r="P37" s="129">
        <f t="shared" si="10"/>
        <v>-1</v>
      </c>
      <c r="Q37" s="133">
        <f t="shared" si="15"/>
        <v>2</v>
      </c>
      <c r="R37" s="142"/>
      <c r="S37" s="128">
        <f>IF(R37="",0,LEN(R37)-LEN(SUBSTITUTE(R37,",",""))+1)+IF(U36&gt;0,U36,0)</f>
        <v>0</v>
      </c>
      <c r="T37" s="128">
        <v>1</v>
      </c>
      <c r="U37" s="129">
        <f t="shared" si="12"/>
        <v>-1</v>
      </c>
      <c r="V37" s="99">
        <f t="shared" si="13"/>
        <v>-2</v>
      </c>
      <c r="W37" s="99" t="s">
        <v>19</v>
      </c>
    </row>
    <row r="38" spans="1:23">
      <c r="A38" s="99" t="s">
        <v>19</v>
      </c>
      <c r="B38" s="128" t="str">
        <f>CON!C66</f>
        <v>Juan Trinidad</v>
      </c>
      <c r="C38" s="133"/>
      <c r="D38" s="128"/>
      <c r="E38" s="129">
        <f>VLOOKUP(B38,CON!$C$52:$D$70,$E$1,FALSE)</f>
        <v>27</v>
      </c>
      <c r="F38" s="129" t="s">
        <v>577</v>
      </c>
      <c r="G38" s="133" t="s">
        <v>431</v>
      </c>
      <c r="H38" s="128" t="s">
        <v>431</v>
      </c>
      <c r="I38" s="128"/>
      <c r="J38" s="128"/>
      <c r="K38" s="99"/>
      <c r="L38" s="133">
        <v>1</v>
      </c>
      <c r="M38" s="139"/>
      <c r="N38" s="128">
        <f>IF(M38="",0,LEN(M38)-LEN(SUBSTITUTE(M38,",",""))+1)+IF(P37&gt;0,P37,0)</f>
        <v>0</v>
      </c>
      <c r="O38" s="128">
        <v>3</v>
      </c>
      <c r="P38" s="129">
        <f t="shared" ref="P38" si="17">N38-O38</f>
        <v>-3</v>
      </c>
      <c r="Q38" s="133">
        <f t="shared" si="15"/>
        <v>1</v>
      </c>
      <c r="R38" s="142"/>
      <c r="S38" s="128">
        <f>IF(R38="",0,LEN(R38)-LEN(SUBSTITUTE(R38,",",""))+1)+IF(U37&gt;0,U37,0)</f>
        <v>0</v>
      </c>
      <c r="T38" s="128">
        <v>3</v>
      </c>
      <c r="U38" s="129">
        <f t="shared" ref="U38" si="18">S38-T38</f>
        <v>-3</v>
      </c>
      <c r="V38" s="99">
        <f t="shared" ref="V38" si="19">MIN(P38,P38+U38)</f>
        <v>-6</v>
      </c>
      <c r="W38" s="99" t="s">
        <v>19</v>
      </c>
    </row>
    <row r="39" spans="1:23">
      <c r="A39" s="99" t="s">
        <v>19</v>
      </c>
      <c r="B39" s="128" t="str">
        <f>CON!C67</f>
        <v>David Gutiérrez</v>
      </c>
      <c r="C39" s="133"/>
      <c r="D39" s="128"/>
      <c r="E39" s="129">
        <f>VLOOKUP(B39,CON!$C$52:$D$70,$E$1,FALSE)</f>
        <v>29</v>
      </c>
      <c r="F39" s="129" t="s">
        <v>577</v>
      </c>
      <c r="G39" s="133"/>
      <c r="H39" s="128"/>
      <c r="I39" s="128"/>
      <c r="J39" s="128"/>
      <c r="K39" s="99"/>
      <c r="L39" s="133"/>
      <c r="M39" s="139"/>
      <c r="N39" s="128"/>
      <c r="O39" s="128"/>
      <c r="P39" s="129"/>
      <c r="Q39" s="133"/>
      <c r="R39" s="142"/>
      <c r="S39" s="128"/>
      <c r="T39" s="128"/>
      <c r="U39" s="129"/>
      <c r="V39" s="99"/>
      <c r="W39" s="99"/>
    </row>
    <row r="40" spans="1:23">
      <c r="A40" s="99" t="s">
        <v>19</v>
      </c>
      <c r="B40" s="128" t="str">
        <f>CON!C68</f>
        <v>Diego Rúbio</v>
      </c>
      <c r="C40" s="133"/>
      <c r="D40" s="128"/>
      <c r="E40" s="129">
        <f>VLOOKUP(B40,CON!$C$52:$D$70,$E$1,FALSE)</f>
        <v>23</v>
      </c>
      <c r="F40" s="129" t="s">
        <v>578</v>
      </c>
      <c r="G40" s="133"/>
      <c r="H40" s="128"/>
      <c r="I40" s="128"/>
      <c r="J40" s="128"/>
      <c r="K40" s="99"/>
      <c r="L40" s="133"/>
      <c r="M40" s="139"/>
      <c r="N40" s="128"/>
      <c r="O40" s="128"/>
      <c r="P40" s="129"/>
      <c r="Q40" s="133"/>
      <c r="R40" s="142"/>
      <c r="S40" s="128"/>
      <c r="T40" s="128"/>
      <c r="U40" s="129"/>
      <c r="V40" s="99"/>
      <c r="W40" s="99"/>
    </row>
    <row r="41" spans="1:23">
      <c r="A41" s="100" t="s">
        <v>19</v>
      </c>
      <c r="B41" s="130">
        <f>CON!C69</f>
        <v>0</v>
      </c>
      <c r="C41" s="134"/>
      <c r="D41" s="130"/>
      <c r="E41" s="131" t="e">
        <f>VLOOKUP(B41,CON!$C$52:$D$70,$E$1,FALSE)</f>
        <v>#N/A</v>
      </c>
      <c r="F41" s="131" t="s">
        <v>578</v>
      </c>
      <c r="G41" s="134"/>
      <c r="H41" s="130"/>
      <c r="I41" s="130"/>
      <c r="J41" s="130"/>
      <c r="K41" s="100"/>
      <c r="L41" s="134"/>
      <c r="M41" s="140"/>
      <c r="N41" s="130"/>
      <c r="O41" s="130"/>
      <c r="P41" s="131"/>
      <c r="Q41" s="134"/>
      <c r="R41" s="140"/>
      <c r="S41" s="130"/>
      <c r="T41" s="130"/>
      <c r="U41" s="131"/>
      <c r="V41" s="100"/>
      <c r="W41" s="100"/>
    </row>
    <row r="44" spans="1:23">
      <c r="L44" s="351" t="s">
        <v>359</v>
      </c>
      <c r="M44" s="352"/>
      <c r="N44" s="352"/>
      <c r="O44" s="352"/>
      <c r="P44" s="353"/>
      <c r="Q44" s="351" t="s">
        <v>361</v>
      </c>
      <c r="R44" s="352"/>
      <c r="S44" s="352"/>
      <c r="T44" s="352"/>
      <c r="U44" s="353"/>
      <c r="V44" s="124" t="s">
        <v>255</v>
      </c>
    </row>
    <row r="45" spans="1:23">
      <c r="K45" s="123" t="s">
        <v>119</v>
      </c>
      <c r="L45" s="132" t="s">
        <v>355</v>
      </c>
      <c r="M45" s="138" t="s">
        <v>243</v>
      </c>
      <c r="N45" s="125" t="s">
        <v>244</v>
      </c>
      <c r="O45" s="125" t="s">
        <v>245</v>
      </c>
      <c r="P45" s="126" t="s">
        <v>247</v>
      </c>
      <c r="Q45" s="132" t="s">
        <v>355</v>
      </c>
      <c r="R45" s="138" t="s">
        <v>243</v>
      </c>
      <c r="S45" s="125" t="s">
        <v>244</v>
      </c>
      <c r="T45" s="125" t="s">
        <v>245</v>
      </c>
      <c r="U45" s="126" t="s">
        <v>246</v>
      </c>
      <c r="V45" s="127" t="s">
        <v>247</v>
      </c>
      <c r="W45" s="123" t="s">
        <v>119</v>
      </c>
    </row>
    <row r="46" spans="1:23">
      <c r="K46" s="99" t="s">
        <v>108</v>
      </c>
      <c r="L46" s="133">
        <f>L30</f>
        <v>8</v>
      </c>
      <c r="M46" s="139" t="s">
        <v>642</v>
      </c>
      <c r="N46" s="128">
        <f>IF(M46="",0,LEN(M46)-LEN(SUBSTITUTE(M46,",",""))+1)</f>
        <v>5</v>
      </c>
      <c r="O46" s="128">
        <v>2</v>
      </c>
      <c r="P46" s="129">
        <f>N46-O46</f>
        <v>3</v>
      </c>
      <c r="Q46" s="133">
        <f t="shared" ref="Q46:Q48" si="20">L46</f>
        <v>8</v>
      </c>
      <c r="R46" s="139"/>
      <c r="S46" s="128">
        <f>IF(R46="",0,LEN(R46)-LEN(SUBSTITUTE(R46,",",""))+1)</f>
        <v>0</v>
      </c>
      <c r="T46" s="128">
        <v>2</v>
      </c>
      <c r="U46" s="129">
        <f>S46-T46</f>
        <v>-2</v>
      </c>
      <c r="V46" s="99">
        <f>MIN(P46,P46+U46)</f>
        <v>1</v>
      </c>
      <c r="W46" s="99" t="s">
        <v>108</v>
      </c>
    </row>
    <row r="47" spans="1:23">
      <c r="K47" s="99" t="s">
        <v>108</v>
      </c>
      <c r="L47" s="133">
        <f t="shared" ref="L47:L48" si="21">L31</f>
        <v>7</v>
      </c>
      <c r="M47" s="139" t="s">
        <v>641</v>
      </c>
      <c r="N47" s="128">
        <f>IF(M47="",0,LEN(M47)-LEN(SUBSTITUTE(M47,",",""))+1)+IF(P46&gt;0,P46,0)</f>
        <v>4</v>
      </c>
      <c r="O47" s="128">
        <v>1</v>
      </c>
      <c r="P47" s="129">
        <f t="shared" ref="P47:P48" si="22">N47-O47</f>
        <v>3</v>
      </c>
      <c r="Q47" s="133">
        <f t="shared" si="20"/>
        <v>7</v>
      </c>
      <c r="R47" s="139"/>
      <c r="S47" s="128">
        <f>IF(R47="",0,LEN(R47)-LEN(SUBSTITUTE(R47,",",""))+1)+IF(U46&gt;0,U46,0)</f>
        <v>0</v>
      </c>
      <c r="T47" s="128">
        <v>1</v>
      </c>
      <c r="U47" s="129">
        <f t="shared" ref="U47:U48" si="23">S47-T47</f>
        <v>-1</v>
      </c>
      <c r="V47" s="99">
        <f t="shared" ref="V47:V48" si="24">MIN(P47,P47+U47)</f>
        <v>2</v>
      </c>
      <c r="W47" s="99" t="s">
        <v>108</v>
      </c>
    </row>
    <row r="48" spans="1:23">
      <c r="K48" s="99" t="s">
        <v>108</v>
      </c>
      <c r="L48" s="133">
        <f t="shared" si="21"/>
        <v>6</v>
      </c>
      <c r="M48" s="139" t="s">
        <v>493</v>
      </c>
      <c r="N48" s="128">
        <f>IF(M48="",0,LEN(M48)-LEN(SUBSTITUTE(M48,",",""))+1)+IF(P47&gt;0,P47,0)</f>
        <v>4</v>
      </c>
      <c r="O48" s="128">
        <v>3</v>
      </c>
      <c r="P48" s="129">
        <f t="shared" si="22"/>
        <v>1</v>
      </c>
      <c r="Q48" s="133">
        <f t="shared" si="20"/>
        <v>6</v>
      </c>
      <c r="R48" s="139"/>
      <c r="S48" s="128">
        <f>IF(R48="",0,LEN(R48)-LEN(SUBSTITUTE(R48,",",""))+1)+IF(U47&gt;0,U47,0)</f>
        <v>0</v>
      </c>
      <c r="T48" s="128">
        <v>3</v>
      </c>
      <c r="U48" s="129">
        <f t="shared" si="23"/>
        <v>-3</v>
      </c>
      <c r="V48" s="99">
        <f t="shared" si="24"/>
        <v>-2</v>
      </c>
      <c r="W48" s="99" t="s">
        <v>108</v>
      </c>
    </row>
    <row r="49" spans="11:23">
      <c r="K49" s="99" t="s">
        <v>108</v>
      </c>
      <c r="L49" s="133"/>
      <c r="M49" s="139"/>
      <c r="N49" s="128"/>
      <c r="O49" s="128"/>
      <c r="P49" s="129"/>
      <c r="Q49" s="133"/>
      <c r="R49" s="139"/>
      <c r="S49" s="128"/>
      <c r="T49" s="128"/>
      <c r="U49" s="129"/>
      <c r="V49" s="99"/>
      <c r="W49" s="99"/>
    </row>
    <row r="50" spans="11:23">
      <c r="K50" s="99" t="s">
        <v>108</v>
      </c>
      <c r="L50" s="133"/>
      <c r="M50" s="139"/>
      <c r="N50" s="128"/>
      <c r="O50" s="128"/>
      <c r="P50" s="129"/>
      <c r="Q50" s="133"/>
      <c r="R50" s="139"/>
      <c r="S50" s="128"/>
      <c r="T50" s="128"/>
      <c r="U50" s="129"/>
      <c r="V50" s="99"/>
      <c r="W50" s="99"/>
    </row>
    <row r="51" spans="11:23">
      <c r="K51" s="206" t="s">
        <v>109</v>
      </c>
      <c r="L51" s="207"/>
      <c r="M51" s="208"/>
      <c r="N51" s="209"/>
      <c r="O51" s="209"/>
      <c r="P51" s="210"/>
      <c r="Q51" s="207"/>
      <c r="R51" s="211"/>
      <c r="S51" s="209"/>
      <c r="T51" s="209"/>
      <c r="U51" s="210"/>
      <c r="V51" s="206"/>
      <c r="W51" s="206"/>
    </row>
    <row r="52" spans="11:23">
      <c r="K52" s="99" t="s">
        <v>19</v>
      </c>
      <c r="L52" s="133">
        <f t="shared" ref="L52:L54" si="25">L36</f>
        <v>3</v>
      </c>
      <c r="M52" s="139" t="s">
        <v>644</v>
      </c>
      <c r="N52" s="128">
        <f t="shared" ref="N52" si="26">IF(M52="",0,LEN(M52)-LEN(SUBSTITUTE(M52,",",""))+1)</f>
        <v>1</v>
      </c>
      <c r="O52" s="128">
        <v>2</v>
      </c>
      <c r="P52" s="129">
        <f t="shared" ref="P52:P54" si="27">N52-O52</f>
        <v>-1</v>
      </c>
      <c r="Q52" s="133">
        <f t="shared" ref="Q52:Q54" si="28">L52</f>
        <v>3</v>
      </c>
      <c r="R52" s="139"/>
      <c r="S52" s="128">
        <f t="shared" ref="S52" si="29">IF(R52="",0,LEN(R52)-LEN(SUBSTITUTE(R52,",",""))+1)</f>
        <v>0</v>
      </c>
      <c r="T52" s="128">
        <v>2</v>
      </c>
      <c r="U52" s="129">
        <f t="shared" ref="U52:U54" si="30">S52-T52</f>
        <v>-2</v>
      </c>
      <c r="V52" s="99">
        <f t="shared" ref="V52:V54" si="31">MIN(P52,P52+U52)</f>
        <v>-3</v>
      </c>
      <c r="W52" s="99" t="s">
        <v>19</v>
      </c>
    </row>
    <row r="53" spans="11:23">
      <c r="K53" s="99" t="s">
        <v>19</v>
      </c>
      <c r="L53" s="133">
        <f t="shared" si="25"/>
        <v>2</v>
      </c>
      <c r="M53" s="139" t="s">
        <v>494</v>
      </c>
      <c r="N53" s="128">
        <f>IF(M53="",0,LEN(M53)-LEN(SUBSTITUTE(M53,",",""))+1)+IF(P52&gt;0,P52,0)</f>
        <v>1</v>
      </c>
      <c r="O53" s="128">
        <v>1</v>
      </c>
      <c r="P53" s="129">
        <f t="shared" si="27"/>
        <v>0</v>
      </c>
      <c r="Q53" s="133">
        <f t="shared" si="28"/>
        <v>2</v>
      </c>
      <c r="R53" s="142"/>
      <c r="S53" s="128">
        <f>IF(R53="",0,LEN(R53)-LEN(SUBSTITUTE(R53,",",""))+1)+IF(U52&gt;0,U52,0)</f>
        <v>0</v>
      </c>
      <c r="T53" s="128">
        <v>1</v>
      </c>
      <c r="U53" s="129">
        <f t="shared" si="30"/>
        <v>-1</v>
      </c>
      <c r="V53" s="99">
        <f t="shared" si="31"/>
        <v>-1</v>
      </c>
      <c r="W53" s="99" t="s">
        <v>19</v>
      </c>
    </row>
    <row r="54" spans="11:23">
      <c r="K54" s="99" t="s">
        <v>19</v>
      </c>
      <c r="L54" s="133">
        <f t="shared" si="25"/>
        <v>1</v>
      </c>
      <c r="M54" s="139" t="s">
        <v>643</v>
      </c>
      <c r="N54" s="128">
        <f>IF(M54="",0,LEN(M54)-LEN(SUBSTITUTE(M54,",",""))+1)+IF(P53&gt;0,P53,0)</f>
        <v>4</v>
      </c>
      <c r="O54" s="128">
        <v>3</v>
      </c>
      <c r="P54" s="129">
        <f t="shared" si="27"/>
        <v>1</v>
      </c>
      <c r="Q54" s="133">
        <f t="shared" si="28"/>
        <v>1</v>
      </c>
      <c r="R54" s="142"/>
      <c r="S54" s="128">
        <f>IF(R54="",0,LEN(R54)-LEN(SUBSTITUTE(R54,",",""))+1)+IF(U53&gt;0,U53,0)</f>
        <v>0</v>
      </c>
      <c r="T54" s="128">
        <v>3</v>
      </c>
      <c r="U54" s="129">
        <f t="shared" si="30"/>
        <v>-3</v>
      </c>
      <c r="V54" s="99">
        <f t="shared" si="31"/>
        <v>-2</v>
      </c>
      <c r="W54" s="99" t="s">
        <v>19</v>
      </c>
    </row>
    <row r="55" spans="11:23">
      <c r="K55" s="99" t="s">
        <v>19</v>
      </c>
      <c r="L55" s="133"/>
      <c r="M55" s="139"/>
      <c r="N55" s="128"/>
      <c r="O55" s="128"/>
      <c r="P55" s="129"/>
      <c r="Q55" s="133"/>
      <c r="R55" s="142"/>
      <c r="S55" s="128"/>
      <c r="T55" s="128"/>
      <c r="U55" s="129"/>
      <c r="V55" s="99"/>
      <c r="W55" s="99"/>
    </row>
    <row r="56" spans="11:23">
      <c r="K56" s="99" t="s">
        <v>19</v>
      </c>
      <c r="L56" s="133"/>
      <c r="M56" s="139"/>
      <c r="N56" s="128"/>
      <c r="O56" s="128"/>
      <c r="P56" s="129"/>
      <c r="Q56" s="133"/>
      <c r="R56" s="142"/>
      <c r="S56" s="128"/>
      <c r="T56" s="128"/>
      <c r="U56" s="129"/>
      <c r="V56" s="99"/>
      <c r="W56" s="99"/>
    </row>
    <row r="57" spans="11:23">
      <c r="K57" s="100" t="s">
        <v>19</v>
      </c>
      <c r="L57" s="134"/>
      <c r="M57" s="140"/>
      <c r="N57" s="130"/>
      <c r="O57" s="130"/>
      <c r="P57" s="131"/>
      <c r="Q57" s="134"/>
      <c r="R57" s="140"/>
      <c r="S57" s="130"/>
      <c r="T57" s="130"/>
      <c r="U57" s="131"/>
      <c r="V57" s="100"/>
      <c r="W57" s="100"/>
    </row>
  </sheetData>
  <mergeCells count="8">
    <mergeCell ref="L44:P44"/>
    <mergeCell ref="Q44:U44"/>
    <mergeCell ref="L2:P2"/>
    <mergeCell ref="Q2:U2"/>
    <mergeCell ref="L15:P15"/>
    <mergeCell ref="Q15:U15"/>
    <mergeCell ref="L28:P28"/>
    <mergeCell ref="Q28:U28"/>
  </mergeCells>
  <conditionalFormatting sqref="M4:M12 M30:M41 R30:R41 R17:R25 R4:R12 M46:M57 R46:R57 M17:M25">
    <cfRule type="expression" dxfId="107" priority="1">
      <formula>IF(P4&gt;0,1,0)</formula>
    </cfRule>
    <cfRule type="expression" dxfId="106" priority="2">
      <formula>IF(P4&lt;0,1,0)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published="0" codeName="Sheet5" enableFormatConditionsCalculation="0">
    <tabColor theme="9"/>
  </sheetPr>
  <dimension ref="A1:CN192"/>
  <sheetViews>
    <sheetView zoomScale="85" zoomScaleNormal="85" workbookViewId="0">
      <pane xSplit="14" ySplit="10" topLeftCell="O11" activePane="bottomRight" state="frozenSplit"/>
      <selection pane="topRight" activeCell="H1" sqref="H1"/>
      <selection pane="bottomLeft"/>
      <selection pane="bottomRight" activeCell="E11" sqref="E11"/>
    </sheetView>
  </sheetViews>
  <sheetFormatPr defaultColWidth="11.42578125" defaultRowHeight="15"/>
  <cols>
    <col min="1" max="1" width="6.140625" style="27" bestFit="1" customWidth="1"/>
    <col min="2" max="2" width="6.7109375" style="27" bestFit="1" customWidth="1"/>
    <col min="3" max="3" width="6.85546875" bestFit="1" customWidth="1"/>
    <col min="4" max="4" width="7.140625" bestFit="1" customWidth="1"/>
    <col min="5" max="5" width="6.5703125" bestFit="1" customWidth="1"/>
    <col min="6" max="6" width="7.140625" bestFit="1" customWidth="1"/>
    <col min="7" max="7" width="22.5703125" customWidth="1"/>
    <col min="8" max="8" width="6.5703125" bestFit="1" customWidth="1"/>
    <col min="9" max="9" width="6.7109375" bestFit="1" customWidth="1"/>
    <col min="10" max="10" width="7" bestFit="1" customWidth="1"/>
    <col min="11" max="11" width="5" bestFit="1" customWidth="1"/>
    <col min="12" max="12" width="4.85546875" bestFit="1" customWidth="1"/>
    <col min="13" max="13" width="7.5703125" bestFit="1" customWidth="1"/>
    <col min="14" max="14" width="7.140625" style="3" bestFit="1" customWidth="1"/>
    <col min="15" max="15" width="9.7109375" bestFit="1" customWidth="1"/>
    <col min="16" max="16" width="9.7109375" style="3" bestFit="1" customWidth="1"/>
    <col min="17" max="17" width="7.5703125" bestFit="1" customWidth="1"/>
    <col min="18" max="18" width="7.42578125" bestFit="1" customWidth="1"/>
    <col min="19" max="19" width="8" bestFit="1" customWidth="1"/>
    <col min="20" max="20" width="6.85546875" bestFit="1" customWidth="1"/>
    <col min="21" max="21" width="6.42578125" style="3" bestFit="1" customWidth="1"/>
    <col min="22" max="22" width="9" bestFit="1" customWidth="1"/>
    <col min="23" max="23" width="8.85546875" bestFit="1" customWidth="1"/>
    <col min="24" max="24" width="9.5703125" bestFit="1" customWidth="1"/>
    <col min="25" max="25" width="8.42578125" bestFit="1" customWidth="1"/>
    <col min="26" max="26" width="6.5703125" style="3" bestFit="1" customWidth="1"/>
    <col min="27" max="27" width="9.85546875" bestFit="1" customWidth="1"/>
    <col min="28" max="28" width="10.7109375" bestFit="1" customWidth="1"/>
    <col min="29" max="29" width="9.42578125" bestFit="1" customWidth="1"/>
    <col min="30" max="30" width="4.85546875" bestFit="1" customWidth="1"/>
    <col min="31" max="33" width="6" bestFit="1" customWidth="1"/>
    <col min="34" max="34" width="5.85546875" bestFit="1" customWidth="1"/>
    <col min="35" max="35" width="5.7109375" bestFit="1" customWidth="1"/>
    <col min="36" max="36" width="5.85546875" bestFit="1" customWidth="1"/>
    <col min="37" max="37" width="6" style="3" bestFit="1" customWidth="1"/>
    <col min="38" max="39" width="6.85546875" bestFit="1" customWidth="1"/>
    <col min="40" max="40" width="7.7109375" style="3" bestFit="1" customWidth="1"/>
    <col min="41" max="41" width="12.5703125" bestFit="1" customWidth="1"/>
    <col min="42" max="42" width="9.5703125" style="3" bestFit="1" customWidth="1"/>
    <col min="43" max="43" width="9.28515625" bestFit="1" customWidth="1"/>
    <col min="44" max="44" width="9" style="5" bestFit="1" customWidth="1"/>
    <col min="45" max="45" width="8.85546875" bestFit="1" customWidth="1"/>
    <col min="46" max="46" width="9" bestFit="1" customWidth="1"/>
    <col min="47" max="47" width="4.7109375" bestFit="1" customWidth="1"/>
    <col min="48" max="48" width="9" bestFit="1" customWidth="1"/>
    <col min="49" max="49" width="4.140625" style="53" bestFit="1" customWidth="1"/>
    <col min="50" max="56" width="4.140625" style="5" bestFit="1" customWidth="1"/>
    <col min="57" max="57" width="4.140625" style="3" bestFit="1" customWidth="1"/>
    <col min="58" max="58" width="3.85546875" style="53" bestFit="1" customWidth="1"/>
    <col min="59" max="65" width="3.85546875" style="5" bestFit="1" customWidth="1"/>
    <col min="66" max="66" width="3.85546875" style="3" bestFit="1" customWidth="1"/>
    <col min="67" max="67" width="3.42578125" bestFit="1" customWidth="1"/>
    <col min="68" max="69" width="4.28515625" bestFit="1" customWidth="1"/>
    <col min="70" max="70" width="10.5703125" style="105" bestFit="1" customWidth="1"/>
    <col min="71" max="72" width="6.7109375" style="91" bestFit="1" customWidth="1"/>
    <col min="73" max="73" width="11.42578125" style="91"/>
    <col min="74" max="74" width="8.85546875" style="91" bestFit="1" customWidth="1"/>
    <col min="75" max="75" width="9.140625" style="91" bestFit="1" customWidth="1"/>
    <col min="76" max="77" width="8.7109375" style="91" bestFit="1" customWidth="1"/>
    <col min="78" max="78" width="8.85546875" style="91" bestFit="1" customWidth="1"/>
    <col min="79" max="79" width="4.28515625" style="91" bestFit="1" customWidth="1"/>
    <col min="80" max="80" width="5.42578125" style="91" bestFit="1" customWidth="1"/>
    <col min="81" max="81" width="4.42578125" style="91" bestFit="1" customWidth="1"/>
    <col min="82" max="82" width="4.28515625" style="91" bestFit="1" customWidth="1"/>
    <col min="83" max="83" width="10.28515625" style="91" customWidth="1"/>
    <col min="84" max="84" width="4.85546875" style="293" bestFit="1" customWidth="1"/>
    <col min="85" max="87" width="6" style="293" bestFit="1" customWidth="1"/>
    <col min="88" max="88" width="5.85546875" style="293" bestFit="1" customWidth="1"/>
    <col min="89" max="89" width="5.7109375" style="293" bestFit="1" customWidth="1"/>
    <col min="90" max="90" width="5.85546875" style="293" bestFit="1" customWidth="1"/>
    <col min="91" max="91" width="6" style="293" bestFit="1" customWidth="1"/>
    <col min="92" max="92" width="6.5703125" style="293" bestFit="1" customWidth="1"/>
    <col min="93" max="16384" width="11.42578125" style="91"/>
  </cols>
  <sheetData>
    <row r="1" spans="1:92" s="95" customFormat="1">
      <c r="A1" s="72"/>
      <c r="B1" s="72" t="s">
        <v>101</v>
      </c>
      <c r="C1" s="5" t="s">
        <v>146</v>
      </c>
      <c r="D1" s="5"/>
      <c r="E1" s="5" t="s">
        <v>217</v>
      </c>
      <c r="F1" s="5" t="s">
        <v>218</v>
      </c>
      <c r="G1" s="5" t="s">
        <v>219</v>
      </c>
      <c r="H1" s="21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109"/>
      <c r="CF1" s="292"/>
      <c r="CG1" s="292"/>
      <c r="CH1" s="292"/>
      <c r="CI1" s="292"/>
      <c r="CJ1" s="292"/>
      <c r="CK1" s="292"/>
      <c r="CL1" s="292"/>
      <c r="CM1" s="292"/>
      <c r="CN1" s="292"/>
    </row>
    <row r="2" spans="1:92" s="95" customFormat="1">
      <c r="A2" s="72" t="s">
        <v>207</v>
      </c>
      <c r="B2" s="72">
        <f>COUNTIF($A$11:$A$197,A2)</f>
        <v>15</v>
      </c>
      <c r="C2" s="95">
        <f>VLOOKUP($A2,CTPit!$A$2:$B$8,2,FALSE)</f>
        <v>12</v>
      </c>
      <c r="D2" s="5">
        <v>25</v>
      </c>
      <c r="E2" s="115">
        <f>B2/$D2</f>
        <v>0.6</v>
      </c>
      <c r="F2" s="115">
        <f>C2/$D2</f>
        <v>0.48</v>
      </c>
      <c r="G2" s="114">
        <f>(B2+C2)/$D2</f>
        <v>1.08</v>
      </c>
      <c r="H2" s="114"/>
      <c r="I2" s="11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109"/>
      <c r="CF2" s="292"/>
      <c r="CG2" s="292"/>
      <c r="CH2" s="292"/>
      <c r="CI2" s="292"/>
      <c r="CJ2" s="292"/>
      <c r="CK2" s="292"/>
      <c r="CL2" s="292"/>
      <c r="CM2" s="292"/>
      <c r="CN2" s="292"/>
    </row>
    <row r="3" spans="1:92" s="95" customFormat="1">
      <c r="A3" s="72" t="s">
        <v>208</v>
      </c>
      <c r="B3" s="72">
        <f>COUNTIF($A$11:$A$197,A3)</f>
        <v>4</v>
      </c>
      <c r="C3" s="95">
        <f>VLOOKUP($A3,CTPit!$A$2:$B$8,2,FALSE)</f>
        <v>4</v>
      </c>
      <c r="D3" s="5">
        <v>25</v>
      </c>
      <c r="E3" s="115">
        <f t="shared" ref="E3:E8" si="0">B3/$D3</f>
        <v>0.16</v>
      </c>
      <c r="F3" s="115">
        <f t="shared" ref="F3:F8" si="1">C3/$D3</f>
        <v>0.16</v>
      </c>
      <c r="G3" s="114">
        <f t="shared" ref="G3:G8" si="2">(B3+C3)/$D3</f>
        <v>0.32</v>
      </c>
      <c r="H3" s="114"/>
      <c r="I3" s="11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109"/>
      <c r="CF3" s="292"/>
      <c r="CG3" s="292"/>
      <c r="CH3" s="292"/>
      <c r="CI3" s="292"/>
      <c r="CJ3" s="292"/>
      <c r="CK3" s="292"/>
      <c r="CL3" s="292"/>
      <c r="CM3" s="292"/>
      <c r="CN3" s="292"/>
    </row>
    <row r="4" spans="1:92" s="95" customFormat="1">
      <c r="A4" s="72" t="s">
        <v>209</v>
      </c>
      <c r="B4" s="72">
        <f>COUNTIF($A$11:$A$197,A4)</f>
        <v>5</v>
      </c>
      <c r="C4" s="95">
        <f>VLOOKUP($A4,CTPit!$A$2:$B$8,2,FALSE)</f>
        <v>5</v>
      </c>
      <c r="D4" s="5">
        <v>25</v>
      </c>
      <c r="E4" s="115">
        <f t="shared" si="0"/>
        <v>0.2</v>
      </c>
      <c r="F4" s="115">
        <f t="shared" si="1"/>
        <v>0.2</v>
      </c>
      <c r="G4" s="114">
        <f t="shared" si="2"/>
        <v>0.4</v>
      </c>
      <c r="H4" s="114"/>
      <c r="I4" s="114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109"/>
      <c r="CF4" s="292"/>
      <c r="CG4" s="292"/>
      <c r="CH4" s="292"/>
      <c r="CI4" s="292"/>
      <c r="CJ4" s="292"/>
      <c r="CK4" s="292"/>
      <c r="CL4" s="292"/>
      <c r="CM4" s="292"/>
      <c r="CN4" s="292"/>
    </row>
    <row r="5" spans="1:92" s="95" customFormat="1">
      <c r="A5" s="72" t="s">
        <v>210</v>
      </c>
      <c r="B5" s="72">
        <f>COUNTIF($A$11:$A$197,A5)</f>
        <v>4</v>
      </c>
      <c r="C5" s="95">
        <f>VLOOKUP($A5,CTPit!$A$2:$B$8,2,FALSE)</f>
        <v>2</v>
      </c>
      <c r="D5" s="5">
        <v>25</v>
      </c>
      <c r="E5" s="115">
        <f t="shared" si="0"/>
        <v>0.16</v>
      </c>
      <c r="F5" s="115">
        <f t="shared" si="1"/>
        <v>0.08</v>
      </c>
      <c r="G5" s="114">
        <f t="shared" si="2"/>
        <v>0.24</v>
      </c>
      <c r="H5" s="114"/>
      <c r="I5" s="114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109"/>
      <c r="CF5" s="292"/>
      <c r="CG5" s="292"/>
      <c r="CH5" s="292"/>
      <c r="CI5" s="292"/>
      <c r="CJ5" s="292"/>
      <c r="CK5" s="292"/>
      <c r="CL5" s="292"/>
      <c r="CM5" s="292"/>
      <c r="CN5" s="292"/>
    </row>
    <row r="6" spans="1:92" s="95" customFormat="1">
      <c r="A6" s="72" t="s">
        <v>316</v>
      </c>
      <c r="B6" s="72">
        <f>COUNTIF($A$11:$A$197,A6)</f>
        <v>0</v>
      </c>
      <c r="C6" s="95">
        <f>VLOOKUP($A6,CTPit!$A$2:$B$8,2,FALSE)</f>
        <v>1</v>
      </c>
      <c r="D6" s="5">
        <v>35</v>
      </c>
      <c r="E6" s="115">
        <f t="shared" si="0"/>
        <v>0</v>
      </c>
      <c r="F6" s="115">
        <f t="shared" si="1"/>
        <v>2.8571428571428571E-2</v>
      </c>
      <c r="G6" s="114">
        <f t="shared" si="2"/>
        <v>2.8571428571428571E-2</v>
      </c>
      <c r="H6" s="114"/>
      <c r="I6" s="114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109"/>
      <c r="CF6" s="292"/>
      <c r="CG6" s="292"/>
      <c r="CH6" s="292"/>
      <c r="CI6" s="292"/>
      <c r="CJ6" s="292"/>
      <c r="CK6" s="292"/>
      <c r="CL6" s="292"/>
      <c r="CM6" s="292"/>
      <c r="CN6" s="292"/>
    </row>
    <row r="7" spans="1:92" s="95" customFormat="1">
      <c r="A7" s="72" t="s">
        <v>215</v>
      </c>
      <c r="B7" s="72">
        <f>COUNTBLANK($A$11:$A$197)-COUNTBLANK($G$11:$G$197)</f>
        <v>36</v>
      </c>
      <c r="C7" s="95">
        <f>VLOOKUP($A7,CTPit!$A$2:$B$8,2,FALSE)</f>
        <v>36</v>
      </c>
      <c r="D7" s="5"/>
      <c r="E7" s="115"/>
      <c r="F7" s="115"/>
      <c r="G7" s="114"/>
      <c r="H7" s="114"/>
      <c r="I7" s="11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109"/>
      <c r="CF7" s="292"/>
      <c r="CG7" s="292"/>
      <c r="CH7" s="292"/>
      <c r="CI7" s="292"/>
      <c r="CJ7" s="292"/>
      <c r="CK7" s="292"/>
      <c r="CL7" s="292"/>
      <c r="CM7" s="292"/>
      <c r="CN7" s="292"/>
    </row>
    <row r="8" spans="1:92" s="95" customFormat="1">
      <c r="A8" s="72" t="s">
        <v>216</v>
      </c>
      <c r="B8" s="72">
        <f>SUM(B2:B7)</f>
        <v>64</v>
      </c>
      <c r="C8" s="5">
        <f>SUM(C2:C7)</f>
        <v>60</v>
      </c>
      <c r="D8" s="5">
        <f>SUM(D2:D7)</f>
        <v>135</v>
      </c>
      <c r="E8" s="115">
        <f t="shared" si="0"/>
        <v>0.47407407407407409</v>
      </c>
      <c r="F8" s="115">
        <f t="shared" si="1"/>
        <v>0.44444444444444442</v>
      </c>
      <c r="G8" s="114">
        <f t="shared" si="2"/>
        <v>0.91851851851851851</v>
      </c>
      <c r="H8" s="114"/>
      <c r="I8" s="114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109"/>
      <c r="CF8" s="292"/>
      <c r="CG8" s="292"/>
      <c r="CH8" s="292"/>
      <c r="CI8" s="292"/>
      <c r="CJ8" s="292"/>
      <c r="CK8" s="292"/>
      <c r="CL8" s="292"/>
      <c r="CM8" s="292"/>
      <c r="CN8" s="292"/>
    </row>
    <row r="9" spans="1:92" s="95" customFormat="1">
      <c r="A9" s="72"/>
      <c r="B9" s="72"/>
      <c r="C9" s="5"/>
      <c r="D9" s="5"/>
      <c r="E9" s="5"/>
      <c r="F9" s="5"/>
      <c r="G9" s="5"/>
      <c r="H9" s="214"/>
      <c r="I9" s="5"/>
      <c r="J9" s="5"/>
      <c r="K9" s="5"/>
      <c r="L9" s="5"/>
      <c r="M9" s="5"/>
      <c r="N9" s="5"/>
      <c r="O9" s="5"/>
      <c r="P9" s="5"/>
      <c r="Q9" s="5">
        <v>8</v>
      </c>
      <c r="R9" s="5">
        <v>3</v>
      </c>
      <c r="S9" s="5">
        <v>7</v>
      </c>
      <c r="T9" s="5">
        <v>6</v>
      </c>
      <c r="U9" s="95">
        <v>1</v>
      </c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109"/>
      <c r="CF9" s="292">
        <f t="shared" ref="CF9:CN9" si="3">COUNTIF(CF11:CF87,"X")</f>
        <v>10</v>
      </c>
      <c r="CG9" s="292">
        <f t="shared" si="3"/>
        <v>19</v>
      </c>
      <c r="CH9" s="292">
        <f t="shared" si="3"/>
        <v>11</v>
      </c>
      <c r="CI9" s="292">
        <f t="shared" si="3"/>
        <v>11</v>
      </c>
      <c r="CJ9" s="292">
        <f t="shared" si="3"/>
        <v>7</v>
      </c>
      <c r="CK9" s="292">
        <f t="shared" si="3"/>
        <v>18</v>
      </c>
      <c r="CL9" s="292">
        <f t="shared" si="3"/>
        <v>8</v>
      </c>
      <c r="CM9" s="292">
        <f t="shared" si="3"/>
        <v>6</v>
      </c>
      <c r="CN9" s="292">
        <f t="shared" si="3"/>
        <v>15</v>
      </c>
    </row>
    <row r="10" spans="1:92" s="104" customFormat="1">
      <c r="A10" s="120" t="s">
        <v>206</v>
      </c>
      <c r="B10" s="120" t="s">
        <v>119</v>
      </c>
      <c r="C10" s="4" t="s">
        <v>179</v>
      </c>
      <c r="D10" s="4" t="s">
        <v>180</v>
      </c>
      <c r="E10" s="4" t="s">
        <v>114</v>
      </c>
      <c r="F10" s="4" t="s">
        <v>111</v>
      </c>
      <c r="G10" s="4" t="s">
        <v>20</v>
      </c>
      <c r="H10" s="4" t="s">
        <v>374</v>
      </c>
      <c r="I10" s="4" t="s">
        <v>313</v>
      </c>
      <c r="J10" s="4" t="s">
        <v>91</v>
      </c>
      <c r="K10" s="4" t="s">
        <v>101</v>
      </c>
      <c r="L10" s="4" t="s">
        <v>102</v>
      </c>
      <c r="M10" s="4" t="s">
        <v>21</v>
      </c>
      <c r="N10" s="2" t="s">
        <v>22</v>
      </c>
      <c r="O10" s="4" t="s">
        <v>23</v>
      </c>
      <c r="P10" s="2" t="s">
        <v>24</v>
      </c>
      <c r="Q10" s="4" t="s">
        <v>25</v>
      </c>
      <c r="R10" s="4" t="s">
        <v>26</v>
      </c>
      <c r="S10" s="4" t="s">
        <v>27</v>
      </c>
      <c r="T10" s="4" t="s">
        <v>28</v>
      </c>
      <c r="U10" s="2" t="s">
        <v>29</v>
      </c>
      <c r="V10" s="4" t="s">
        <v>30</v>
      </c>
      <c r="W10" s="4" t="s">
        <v>31</v>
      </c>
      <c r="X10" s="4" t="s">
        <v>32</v>
      </c>
      <c r="Y10" s="4" t="s">
        <v>33</v>
      </c>
      <c r="Z10" s="2" t="s">
        <v>34</v>
      </c>
      <c r="AA10" s="4" t="s">
        <v>201</v>
      </c>
      <c r="AB10" s="4" t="s">
        <v>314</v>
      </c>
      <c r="AC10" s="4" t="s">
        <v>315</v>
      </c>
      <c r="AD10" s="4" t="s">
        <v>92</v>
      </c>
      <c r="AE10" s="4" t="s">
        <v>94</v>
      </c>
      <c r="AF10" s="4" t="s">
        <v>95</v>
      </c>
      <c r="AG10" s="4" t="s">
        <v>96</v>
      </c>
      <c r="AH10" s="4" t="s">
        <v>97</v>
      </c>
      <c r="AI10" s="4" t="s">
        <v>98</v>
      </c>
      <c r="AJ10" s="4" t="s">
        <v>99</v>
      </c>
      <c r="AK10" s="2" t="s">
        <v>100</v>
      </c>
      <c r="AL10" s="4" t="s">
        <v>35</v>
      </c>
      <c r="AM10" s="4" t="s">
        <v>36</v>
      </c>
      <c r="AN10" s="2" t="s">
        <v>37</v>
      </c>
      <c r="AO10" s="4" t="s">
        <v>38</v>
      </c>
      <c r="AP10" s="2" t="s">
        <v>39</v>
      </c>
      <c r="AQ10" s="4" t="s">
        <v>116</v>
      </c>
      <c r="AR10" s="4" t="s">
        <v>87</v>
      </c>
      <c r="AS10" s="4" t="s">
        <v>117</v>
      </c>
      <c r="AT10" s="4" t="s">
        <v>88</v>
      </c>
      <c r="AU10" s="4" t="s">
        <v>86</v>
      </c>
      <c r="AV10" s="4" t="s">
        <v>89</v>
      </c>
      <c r="AW10" s="36" t="s">
        <v>161</v>
      </c>
      <c r="AX10" s="4" t="s">
        <v>162</v>
      </c>
      <c r="AY10" s="4" t="s">
        <v>163</v>
      </c>
      <c r="AZ10" s="4" t="s">
        <v>164</v>
      </c>
      <c r="BA10" s="4" t="s">
        <v>165</v>
      </c>
      <c r="BB10" s="4" t="s">
        <v>166</v>
      </c>
      <c r="BC10" s="4" t="s">
        <v>167</v>
      </c>
      <c r="BD10" s="4" t="s">
        <v>168</v>
      </c>
      <c r="BE10" s="2" t="s">
        <v>169</v>
      </c>
      <c r="BF10" s="36" t="s">
        <v>170</v>
      </c>
      <c r="BG10" s="4" t="s">
        <v>171</v>
      </c>
      <c r="BH10" s="4" t="s">
        <v>172</v>
      </c>
      <c r="BI10" s="4" t="s">
        <v>173</v>
      </c>
      <c r="BJ10" s="4" t="s">
        <v>174</v>
      </c>
      <c r="BK10" s="4" t="s">
        <v>175</v>
      </c>
      <c r="BL10" s="4" t="s">
        <v>176</v>
      </c>
      <c r="BM10" s="4" t="s">
        <v>177</v>
      </c>
      <c r="BN10" s="2" t="s">
        <v>178</v>
      </c>
      <c r="BO10" s="2" t="s">
        <v>105</v>
      </c>
      <c r="BP10" s="4" t="s">
        <v>110</v>
      </c>
      <c r="BQ10" s="4" t="s">
        <v>115</v>
      </c>
      <c r="BR10" s="113" t="s">
        <v>237</v>
      </c>
      <c r="BS10" s="104" t="s">
        <v>236</v>
      </c>
      <c r="BT10" s="104" t="s">
        <v>259</v>
      </c>
      <c r="BU10" s="104" t="s">
        <v>300</v>
      </c>
      <c r="BV10" s="104" t="s">
        <v>362</v>
      </c>
      <c r="BW10" s="104" t="s">
        <v>363</v>
      </c>
      <c r="BX10" s="104" t="s">
        <v>364</v>
      </c>
      <c r="BY10" s="104" t="s">
        <v>365</v>
      </c>
      <c r="BZ10" s="104" t="s">
        <v>366</v>
      </c>
      <c r="CA10" s="104" t="s">
        <v>367</v>
      </c>
      <c r="CB10" s="104" t="s">
        <v>376</v>
      </c>
      <c r="CC10" s="104" t="s">
        <v>377</v>
      </c>
      <c r="CD10" s="104" t="s">
        <v>378</v>
      </c>
      <c r="CE10" s="104" t="s">
        <v>441</v>
      </c>
      <c r="CF10" s="295" t="s">
        <v>92</v>
      </c>
      <c r="CG10" s="295" t="s">
        <v>94</v>
      </c>
      <c r="CH10" s="295" t="s">
        <v>95</v>
      </c>
      <c r="CI10" s="295" t="s">
        <v>96</v>
      </c>
      <c r="CJ10" s="295" t="s">
        <v>97</v>
      </c>
      <c r="CK10" s="295" t="s">
        <v>98</v>
      </c>
      <c r="CL10" s="295" t="s">
        <v>99</v>
      </c>
      <c r="CM10" s="295" t="s">
        <v>100</v>
      </c>
      <c r="CN10" s="295" t="s">
        <v>18</v>
      </c>
    </row>
    <row r="11" spans="1:92">
      <c r="A11" s="277" t="str">
        <f>IF(ISERROR(VLOOKUP(G11,CON!$C$3:$C$24,1,FALSE)),IF(ISERROR(VLOOKUP(G11,'PSP-AAA'!$C$6:$C$33,1,FALSE)),IF(ISERROR(VLOOKUP(G11,'NH-AA'!$C$6:$C$33,1,FALSE)),IF(ISERROR(VLOOKUP(G11,'CRG-A'!$C$6:$C$33,1,FALSE)),IF(ISERROR(VLOOKUP(G11,'PC-S A'!$C$6:$C$33,1,FALSE)),"","S A"),"A"),"AA"),"AAA"),"ML")</f>
        <v>ML</v>
      </c>
      <c r="B11" s="278"/>
      <c r="C11" s="279">
        <f t="shared" ref="C11:C42" si="4">IF(BH11=1,3,IF(BI11=1,4,IF(BF11=1,1,IF(BJ11=1,5,IF(BG11=1,2,IF(BK11=1,6,IF(BL11=1,7,IF(BM11=1,8,IF(BN11=1,9,"-")))))))))</f>
        <v>3</v>
      </c>
      <c r="D11" s="279">
        <f t="shared" ref="D11:D42" si="5">IF(AY11=1,3,IF(AZ11=1,4,IF(AW11=1,1,IF(BA11=1,5,IF(AX11=1,2,IF(BB11=1,6,IF(BC11=1,7,IF(BD11=1,8,IF(BE11=1,9,"-")))))))))</f>
        <v>3</v>
      </c>
      <c r="E11" s="279" t="str">
        <f t="shared" ref="E11:E42" si="6">IF(OR(OR(O11="Very High",O11="High"),AND(OR(O11="Very High",O11="High",O11="Normal"),OR(P11="Very High",P11="High"))),"K","T")</f>
        <v>K</v>
      </c>
      <c r="F11" s="279" t="s">
        <v>97</v>
      </c>
      <c r="G11" s="279" t="s">
        <v>43</v>
      </c>
      <c r="H11" s="279" t="s">
        <v>25</v>
      </c>
      <c r="I11" s="279" t="s">
        <v>207</v>
      </c>
      <c r="J11" s="279">
        <v>31</v>
      </c>
      <c r="K11" s="279" t="s">
        <v>103</v>
      </c>
      <c r="L11" s="279" t="s">
        <v>104</v>
      </c>
      <c r="M11" s="279" t="s">
        <v>44</v>
      </c>
      <c r="N11" s="280" t="s">
        <v>44</v>
      </c>
      <c r="O11" s="279" t="s">
        <v>224</v>
      </c>
      <c r="P11" s="280" t="s">
        <v>223</v>
      </c>
      <c r="Q11" s="279">
        <v>8</v>
      </c>
      <c r="R11" s="279">
        <v>8</v>
      </c>
      <c r="S11" s="279">
        <v>10</v>
      </c>
      <c r="T11" s="279">
        <v>7</v>
      </c>
      <c r="U11" s="280">
        <v>4</v>
      </c>
      <c r="V11" s="279">
        <v>8</v>
      </c>
      <c r="W11" s="279">
        <v>8</v>
      </c>
      <c r="X11" s="279">
        <v>10</v>
      </c>
      <c r="Y11" s="279">
        <v>8</v>
      </c>
      <c r="Z11" s="280">
        <v>4</v>
      </c>
      <c r="AA11" s="279">
        <v>8</v>
      </c>
      <c r="AB11" s="279">
        <v>1</v>
      </c>
      <c r="AC11" s="279">
        <v>1</v>
      </c>
      <c r="AD11" s="279" t="s">
        <v>41</v>
      </c>
      <c r="AE11" s="279" t="s">
        <v>41</v>
      </c>
      <c r="AF11" s="279">
        <v>2</v>
      </c>
      <c r="AG11" s="279">
        <v>8</v>
      </c>
      <c r="AH11" s="279">
        <v>7</v>
      </c>
      <c r="AI11" s="279" t="s">
        <v>41</v>
      </c>
      <c r="AJ11" s="279" t="s">
        <v>41</v>
      </c>
      <c r="AK11" s="280" t="s">
        <v>41</v>
      </c>
      <c r="AL11" s="279">
        <v>2</v>
      </c>
      <c r="AM11" s="279">
        <v>4</v>
      </c>
      <c r="AN11" s="280">
        <v>3</v>
      </c>
      <c r="AO11" s="281">
        <v>13000000</v>
      </c>
      <c r="AP11" s="280">
        <v>1</v>
      </c>
      <c r="AQ11" s="282">
        <f t="shared" ref="AQ11:AQ42" si="7">AVERAGE(Q11,S11,T11)+IF(OR(Q11&gt;7,AND(Q11&gt;5,T11&gt;5)),0.5,0)+IF(S11&gt;7,0.25,0)+IF(Q11&lt;6,-0.5*(6-Q11),0)</f>
        <v>9.0833333333333339</v>
      </c>
      <c r="AR11" s="283" t="str">
        <f t="shared" ref="AR11:AR42" si="8">IF(AQ11&gt;9,"SuperStar",IF(AQ11&gt;8,"Star",IF(AQ11&gt;6.5,"GoodReg",IF(AQ11&gt;5,"Reg",IF(AQ11&gt;4,"Bench","Minors")))))</f>
        <v>SuperStar</v>
      </c>
      <c r="AS11" s="282">
        <f t="shared" ref="AS11:AS42" si="9">AVERAGE(V11,X11,Y11)+IF(OR(V11&gt;7,AND(V11&gt;5,Y11&gt;5)),0.5,0)+IF(X11&gt;7,0.25,0)+IF(V11&lt;6,-0.5*(6-V11),0)</f>
        <v>9.4166666666666661</v>
      </c>
      <c r="AT11" s="282" t="str">
        <f t="shared" ref="AT11:AT42" si="10">IF(AS11&gt;9,"SuperStar",IF(AS11&gt;8,"Star",IF(AS11&gt;6.5,"GoodReg",IF(AS11&gt;5,"Reg",IF(AS11&gt;4,"Bench","Minors")))))</f>
        <v>SuperStar</v>
      </c>
      <c r="AU11" s="283">
        <f t="shared" ref="AU11:AU42" si="11">MIN(AQ11+(MAX(0,25-J11))^1.5,AS11)</f>
        <v>9.0833333333333339</v>
      </c>
      <c r="AV11" s="283" t="str">
        <f t="shared" ref="AV11:AV42" si="12">IF(AU11&gt;9,"SuperStar",IF(AU11&gt;8,"Star",IF(AU11&gt;6.5,"GoodReg",IF(AU11&gt;5,"Reg",IF(AU11&gt;4,"Bench","Minors")))))</f>
        <v>SuperStar</v>
      </c>
      <c r="AW11" s="284">
        <f t="shared" ref="AW11:AW42" si="13">IF(AND(OR(Q11+T11&gt;12,AND(Q11&gt;6,T11&gt;6)),AL11&gt;6,OR(AM11&gt;=AL11,AM11&gt;6)),1,0)</f>
        <v>0</v>
      </c>
      <c r="AX11" s="285">
        <f t="shared" ref="AX11:AX42" si="14">IF(OR(AND(Q11&gt;6,U11&gt;6),Q11+T11&gt;12),1,0)</f>
        <v>1</v>
      </c>
      <c r="AY11" s="285">
        <f t="shared" ref="AY11:AY42" si="15">IF(AND(Q11&gt;6,S11&gt;6,T11&gt;6),1,0)</f>
        <v>1</v>
      </c>
      <c r="AZ11" s="285">
        <f t="shared" ref="AZ11:AZ42" si="16">IF(AND(S11&gt;7,OR(Q11&gt;6,T11&gt;6)),1,0)</f>
        <v>1</v>
      </c>
      <c r="BA11" s="285">
        <f t="shared" ref="BA11:BA42" si="17">IF(AND(S11&gt;6,OR(Q11&gt;6,T11&gt;6)),1,0)</f>
        <v>1</v>
      </c>
      <c r="BB11" s="285">
        <f t="shared" ref="BB11:BB42" si="18">IF(AND(OR(Q11&gt;6,S11&gt;6),OR(Q11&gt;6,T11&gt;6)),1,0)</f>
        <v>1</v>
      </c>
      <c r="BC11" s="285">
        <f t="shared" ref="BC11:BC42" si="19">IF(AND(Q11&gt;4,OR(Q11&gt;6,S11&gt;6,T11&gt;6)),1,0)</f>
        <v>1</v>
      </c>
      <c r="BD11" s="285">
        <f t="shared" ref="BD11:BD42" si="20">IF(AND(Q11&gt;4,OR(Q11&gt;6,R11&gt;6,S11&gt;6,T11&gt;6)),1,0)</f>
        <v>1</v>
      </c>
      <c r="BE11" s="280">
        <f t="shared" ref="BE11:BE42" si="21">IF(AND(Q11&gt;4,MAX(Q11:U11)&gt;6),1,0)</f>
        <v>1</v>
      </c>
      <c r="BF11" s="284">
        <f t="shared" ref="BF11:BF42" si="22">IF(AND(OR(V11+Y11&gt;12,AND(V11&gt;6,Y11&gt;6)),AL11&gt;6,OR(AM11&gt;=AL11,AM11&gt;6)),1,0)</f>
        <v>0</v>
      </c>
      <c r="BG11" s="285">
        <f t="shared" ref="BG11:BG42" si="23">IF(OR(AND(V11&gt;6,Z11&gt;6),V11+Y11&gt;12),1,0)</f>
        <v>1</v>
      </c>
      <c r="BH11" s="285">
        <f t="shared" ref="BH11:BH42" si="24">IF(AND(V11&gt;6,X11&gt;6,Y11&gt;6),1,0)</f>
        <v>1</v>
      </c>
      <c r="BI11" s="285">
        <f t="shared" ref="BI11:BI42" si="25">IF(AND(X11&gt;7,OR(V11&gt;6,Y11&gt;6)),1,0)</f>
        <v>1</v>
      </c>
      <c r="BJ11" s="285">
        <f t="shared" ref="BJ11:BJ42" si="26">IF(AND(X11&gt;6,OR(V11&gt;6,Y11&gt;6)),1,0)</f>
        <v>1</v>
      </c>
      <c r="BK11" s="285">
        <f t="shared" ref="BK11:BK42" si="27">IF(AND(OR(V11&gt;6,X11&gt;6),OR(V11&gt;6,Y11&gt;6)),1,0)</f>
        <v>1</v>
      </c>
      <c r="BL11" s="285">
        <f t="shared" ref="BL11:BL42" si="28">IF(AND(V11&gt;4,OR(V11&gt;6,X11&gt;6,Y11&gt;6)),1,0)</f>
        <v>1</v>
      </c>
      <c r="BM11" s="285">
        <f t="shared" ref="BM11:BM42" si="29">IF(AND(V11&gt;4,OR(V11&gt;6,W11&gt;6,X11&gt;6,Y11&gt;6)),1,0)</f>
        <v>1</v>
      </c>
      <c r="BN11" s="280">
        <f t="shared" ref="BN11:BN42" si="30">IF(AND(V11&gt;4,MAX(V11:Z11)&gt;6),1,0)</f>
        <v>1</v>
      </c>
      <c r="BO11" s="280">
        <f t="shared" ref="BO11:BO42" si="31">IF(AVERAGE(AL11:AM11)&gt;9,1,0)+IF(AVERAGE(AL11:AM11)&gt;7,1,0)+IF(AL11&gt;7,1,0)+IF(AM11&gt;7,1,0)+IF(AN11&gt;8,1,0)+IF(AN11&gt;6,1,0)</f>
        <v>0</v>
      </c>
      <c r="BP11" s="286">
        <f t="shared" ref="BP11:BP42" si="32">IF(OR(MAX(AD11,AE11,AI11,AK11)&gt;6,MAX(AF11,AG11,AH11,AJ11)&gt;7),2,IF(MAX(AD11:AK11)&gt;4,1,0))</f>
        <v>2</v>
      </c>
      <c r="BQ11" s="279" t="str">
        <f t="shared" ref="BQ11:BQ42" si="33">IF(AP11=1,"Yes","")</f>
        <v>Yes</v>
      </c>
      <c r="BR11" s="278" t="str">
        <f t="shared" ref="BR11:BR42" si="34">IF($A11="ML","There",IF(AND($V11&gt;=6,AVERAGE($X11:$Y11)&gt;=6),"Likely",IF(OR($V11&gt;6,AND($V11=6,AVERAGE($X11:$Y11)&gt;=3),AND($V11&gt;=5,AVERAGE($X11:$Y11)&gt;=5),AVERAGE($V11,$X11:$Y11)&gt;5),"Possible","Unlikely")))</f>
        <v>There</v>
      </c>
      <c r="BS11" s="279" t="str">
        <f t="shared" ref="BS11:BS42" si="35">IF(OR(AND(Q11&gt;=6,S11+T11&gt;=12),Q11&gt;7),"Start",IF(AND(Q11&gt;=5,S11+T11&gt;=8),"Bench","aack!"))</f>
        <v>Start</v>
      </c>
      <c r="BT11" s="279" t="str">
        <f t="shared" ref="BT11:BT42" si="36">IF(OR(AND(V11&gt;=6,X11+Y11&gt;=12),V11&gt;7),"Start",IF(AND(V11&gt;=5,X11+Y11&gt;=8),"Bench","aack!"))</f>
        <v>Start</v>
      </c>
      <c r="BU11" s="279" t="str">
        <f t="shared" ref="BU11:BU42" si="37">IF(Q11&gt;5,"ML",IF(Q11=5,"AAA",IF(Q11=4,"AA",IF(Q11=3,"A","SS-A"))))</f>
        <v>ML</v>
      </c>
      <c r="BV11" s="279">
        <f t="shared" ref="BV11:BV42" si="38">Q11-V11</f>
        <v>0</v>
      </c>
      <c r="BW11" s="279">
        <f t="shared" ref="BW11:BW42" si="39">R11-W11</f>
        <v>0</v>
      </c>
      <c r="BX11" s="279">
        <f t="shared" ref="BX11:BX42" si="40">S11-X11</f>
        <v>0</v>
      </c>
      <c r="BY11" s="279">
        <f t="shared" ref="BY11:BY42" si="41">T11-Y11</f>
        <v>-1</v>
      </c>
      <c r="BZ11" s="279">
        <f t="shared" ref="BZ11:BZ42" si="42">U11-Z11</f>
        <v>0</v>
      </c>
      <c r="CA11" s="279">
        <f t="shared" ref="CA11:CA42" si="43">SUM(BV11:BZ11)</f>
        <v>-1</v>
      </c>
      <c r="CB11" s="279">
        <f t="shared" ref="CB11:CB42" si="44">V11+X11+Y11</f>
        <v>26</v>
      </c>
      <c r="CC11" s="279">
        <f t="shared" ref="CC11:CC42" si="45">V11+X11</f>
        <v>18</v>
      </c>
      <c r="CD11" s="279">
        <f t="shared" ref="CD11:CD42" si="46">V11+Y11</f>
        <v>16</v>
      </c>
      <c r="CE11" s="279" t="str">
        <f t="shared" ref="CE11:CE42" si="47">IF(J11&gt;24,"Now - Age",IF(Q11&gt;6,"Now",IF(V11&lt;6,"With Dev",MIN(V11-Q11,7-Q11))))</f>
        <v>Now - Age</v>
      </c>
      <c r="CF11" s="294" t="str">
        <f t="shared" ref="CF11:CF42" si="48">IF(AD11&lt;&gt;"-","X","")</f>
        <v/>
      </c>
      <c r="CG11" s="294" t="str">
        <f t="shared" ref="CG11:CG42" si="49">IF(AND(AE11&lt;&gt;"-",AE11&gt;5),"X","")</f>
        <v/>
      </c>
      <c r="CH11" s="294" t="str">
        <f t="shared" ref="CH11:CH42" si="50">IF(AND(AF11&lt;&gt;"-",AF11&gt;5),"X","")</f>
        <v/>
      </c>
      <c r="CI11" s="294" t="str">
        <f t="shared" ref="CI11:CI42" si="51">IF(AND(AG11&lt;&gt;"-",AG11&gt;4,AA11&gt;6),"X","")</f>
        <v>X</v>
      </c>
      <c r="CJ11" s="294" t="str">
        <f t="shared" ref="CJ11:CJ18" si="52">IF(AND(AH11&lt;&gt;"-",AH11&gt;5,AA11&gt;5),"X","")</f>
        <v>X</v>
      </c>
      <c r="CK11" s="294" t="str">
        <f t="shared" ref="CK11:CK42" si="53">IF(AND(AI11&lt;&gt;"-",AI11&gt;3),"X","")</f>
        <v/>
      </c>
      <c r="CL11" s="294" t="str">
        <f t="shared" ref="CL11:CL42" si="54">IF(AND(AJ11&lt;&gt;"-",AJ11&gt;6),"X","")</f>
        <v/>
      </c>
      <c r="CM11" s="294" t="str">
        <f t="shared" ref="CM11:CM42" si="55">IF(AND(AK11&lt;&gt;"-",AK11&gt;5,AB11&gt;6),"X","")</f>
        <v/>
      </c>
      <c r="CN11" s="294" t="str">
        <f t="shared" ref="CN11:CN42" si="56">IF(COUNTBLANK(CF11:CM11)=8,"X","")</f>
        <v/>
      </c>
    </row>
    <row r="12" spans="1:92">
      <c r="A12" s="277" t="str">
        <f>IF(ISERROR(VLOOKUP(G12,CON!$C$3:$C$24,1,FALSE)),IF(ISERROR(VLOOKUP(G12,'PSP-AAA'!$C$6:$C$33,1,FALSE)),IF(ISERROR(VLOOKUP(G12,'NH-AA'!$C$6:$C$33,1,FALSE)),IF(ISERROR(VLOOKUP(G12,'CRG-A'!$C$6:$C$33,1,FALSE)),IF(ISERROR(VLOOKUP(G12,'PC-S A'!$C$6:$C$33,1,FALSE)),"","S A"),"A"),"AA"),"AAA"),"ML")</f>
        <v>ML</v>
      </c>
      <c r="B12" s="278"/>
      <c r="C12" s="279">
        <f t="shared" si="4"/>
        <v>3</v>
      </c>
      <c r="D12" s="279">
        <f t="shared" si="5"/>
        <v>3</v>
      </c>
      <c r="E12" s="279" t="str">
        <f t="shared" si="6"/>
        <v>K</v>
      </c>
      <c r="F12" s="279" t="s">
        <v>94</v>
      </c>
      <c r="G12" s="279" t="s">
        <v>600</v>
      </c>
      <c r="H12" s="279" t="s">
        <v>25</v>
      </c>
      <c r="I12" s="279" t="s">
        <v>207</v>
      </c>
      <c r="J12" s="279">
        <v>31</v>
      </c>
      <c r="K12" s="279" t="s">
        <v>103</v>
      </c>
      <c r="L12" s="279" t="s">
        <v>103</v>
      </c>
      <c r="M12" s="279" t="s">
        <v>44</v>
      </c>
      <c r="N12" s="280" t="s">
        <v>44</v>
      </c>
      <c r="O12" s="279" t="s">
        <v>223</v>
      </c>
      <c r="P12" s="280" t="s">
        <v>224</v>
      </c>
      <c r="Q12" s="279">
        <v>7</v>
      </c>
      <c r="R12" s="279">
        <v>8</v>
      </c>
      <c r="S12" s="279">
        <v>9</v>
      </c>
      <c r="T12" s="279">
        <v>8</v>
      </c>
      <c r="U12" s="280">
        <v>5</v>
      </c>
      <c r="V12" s="279">
        <v>8</v>
      </c>
      <c r="W12" s="279">
        <v>8</v>
      </c>
      <c r="X12" s="279">
        <v>9</v>
      </c>
      <c r="Y12" s="279">
        <v>8</v>
      </c>
      <c r="Z12" s="280">
        <v>5</v>
      </c>
      <c r="AA12" s="279">
        <v>6</v>
      </c>
      <c r="AB12" s="279">
        <v>4</v>
      </c>
      <c r="AC12" s="279">
        <v>1</v>
      </c>
      <c r="AD12" s="279" t="s">
        <v>41</v>
      </c>
      <c r="AE12" s="279">
        <v>9</v>
      </c>
      <c r="AF12" s="279" t="s">
        <v>41</v>
      </c>
      <c r="AG12" s="279">
        <v>1</v>
      </c>
      <c r="AH12" s="279" t="s">
        <v>41</v>
      </c>
      <c r="AI12" s="279">
        <v>1</v>
      </c>
      <c r="AJ12" s="279" t="s">
        <v>41</v>
      </c>
      <c r="AK12" s="280">
        <v>2</v>
      </c>
      <c r="AL12" s="279">
        <v>4</v>
      </c>
      <c r="AM12" s="279">
        <v>2</v>
      </c>
      <c r="AN12" s="280">
        <v>1</v>
      </c>
      <c r="AO12" s="281" t="s">
        <v>599</v>
      </c>
      <c r="AP12" s="280">
        <v>0</v>
      </c>
      <c r="AQ12" s="282">
        <f t="shared" si="7"/>
        <v>8.75</v>
      </c>
      <c r="AR12" s="283" t="str">
        <f t="shared" si="8"/>
        <v>Star</v>
      </c>
      <c r="AS12" s="282">
        <f t="shared" si="9"/>
        <v>9.0833333333333339</v>
      </c>
      <c r="AT12" s="282" t="str">
        <f t="shared" si="10"/>
        <v>SuperStar</v>
      </c>
      <c r="AU12" s="283">
        <f t="shared" si="11"/>
        <v>8.75</v>
      </c>
      <c r="AV12" s="283" t="str">
        <f t="shared" si="12"/>
        <v>Star</v>
      </c>
      <c r="AW12" s="284">
        <f t="shared" si="13"/>
        <v>0</v>
      </c>
      <c r="AX12" s="285">
        <f t="shared" si="14"/>
        <v>1</v>
      </c>
      <c r="AY12" s="285">
        <f t="shared" si="15"/>
        <v>1</v>
      </c>
      <c r="AZ12" s="285">
        <f t="shared" si="16"/>
        <v>1</v>
      </c>
      <c r="BA12" s="285">
        <f t="shared" si="17"/>
        <v>1</v>
      </c>
      <c r="BB12" s="285">
        <f t="shared" si="18"/>
        <v>1</v>
      </c>
      <c r="BC12" s="285">
        <f t="shared" si="19"/>
        <v>1</v>
      </c>
      <c r="BD12" s="285">
        <f t="shared" si="20"/>
        <v>1</v>
      </c>
      <c r="BE12" s="280">
        <f t="shared" si="21"/>
        <v>1</v>
      </c>
      <c r="BF12" s="284">
        <f t="shared" si="22"/>
        <v>0</v>
      </c>
      <c r="BG12" s="285">
        <f t="shared" si="23"/>
        <v>1</v>
      </c>
      <c r="BH12" s="285">
        <f t="shared" si="24"/>
        <v>1</v>
      </c>
      <c r="BI12" s="285">
        <f t="shared" si="25"/>
        <v>1</v>
      </c>
      <c r="BJ12" s="285">
        <f t="shared" si="26"/>
        <v>1</v>
      </c>
      <c r="BK12" s="285">
        <f t="shared" si="27"/>
        <v>1</v>
      </c>
      <c r="BL12" s="285">
        <f t="shared" si="28"/>
        <v>1</v>
      </c>
      <c r="BM12" s="285">
        <f t="shared" si="29"/>
        <v>1</v>
      </c>
      <c r="BN12" s="280">
        <f t="shared" si="30"/>
        <v>1</v>
      </c>
      <c r="BO12" s="280">
        <f t="shared" si="31"/>
        <v>0</v>
      </c>
      <c r="BP12" s="286">
        <f t="shared" si="32"/>
        <v>2</v>
      </c>
      <c r="BQ12" s="279" t="str">
        <f t="shared" si="33"/>
        <v/>
      </c>
      <c r="BR12" s="278" t="str">
        <f t="shared" si="34"/>
        <v>There</v>
      </c>
      <c r="BS12" s="279" t="str">
        <f t="shared" si="35"/>
        <v>Start</v>
      </c>
      <c r="BT12" s="279" t="str">
        <f t="shared" si="36"/>
        <v>Start</v>
      </c>
      <c r="BU12" s="279" t="str">
        <f t="shared" si="37"/>
        <v>ML</v>
      </c>
      <c r="BV12" s="279">
        <f t="shared" si="38"/>
        <v>-1</v>
      </c>
      <c r="BW12" s="279">
        <f t="shared" si="39"/>
        <v>0</v>
      </c>
      <c r="BX12" s="279">
        <f t="shared" si="40"/>
        <v>0</v>
      </c>
      <c r="BY12" s="279">
        <f t="shared" si="41"/>
        <v>0</v>
      </c>
      <c r="BZ12" s="279">
        <f t="shared" si="42"/>
        <v>0</v>
      </c>
      <c r="CA12" s="279">
        <f t="shared" si="43"/>
        <v>-1</v>
      </c>
      <c r="CB12" s="279">
        <f t="shared" si="44"/>
        <v>25</v>
      </c>
      <c r="CC12" s="279">
        <f t="shared" si="45"/>
        <v>17</v>
      </c>
      <c r="CD12" s="279">
        <f t="shared" si="46"/>
        <v>16</v>
      </c>
      <c r="CE12" s="279" t="str">
        <f t="shared" si="47"/>
        <v>Now - Age</v>
      </c>
      <c r="CF12" s="294" t="str">
        <f t="shared" si="48"/>
        <v/>
      </c>
      <c r="CG12" s="294" t="str">
        <f t="shared" si="49"/>
        <v>X</v>
      </c>
      <c r="CH12" s="294" t="str">
        <f t="shared" si="50"/>
        <v/>
      </c>
      <c r="CI12" s="294" t="str">
        <f t="shared" si="51"/>
        <v/>
      </c>
      <c r="CJ12" s="294" t="str">
        <f t="shared" si="52"/>
        <v/>
      </c>
      <c r="CK12" s="294" t="str">
        <f t="shared" si="53"/>
        <v/>
      </c>
      <c r="CL12" s="294" t="str">
        <f t="shared" si="54"/>
        <v/>
      </c>
      <c r="CM12" s="294" t="str">
        <f t="shared" si="55"/>
        <v/>
      </c>
      <c r="CN12" s="294" t="str">
        <f t="shared" si="56"/>
        <v/>
      </c>
    </row>
    <row r="13" spans="1:92">
      <c r="A13" s="277" t="str">
        <f>IF(ISERROR(VLOOKUP(G13,CON!$C$3:$C$24,1,FALSE)),IF(ISERROR(VLOOKUP(G13,'PSP-AAA'!$C$6:$C$33,1,FALSE)),IF(ISERROR(VLOOKUP(G13,'NH-AA'!$C$6:$C$33,1,FALSE)),IF(ISERROR(VLOOKUP(G13,'CRG-A'!$C$6:$C$33,1,FALSE)),IF(ISERROR(VLOOKUP(G13,'PC-S A'!$C$6:$C$33,1,FALSE)),"","S A"),"A"),"AA"),"AAA"),"ML")</f>
        <v/>
      </c>
      <c r="B13" s="278"/>
      <c r="C13" s="279">
        <f t="shared" si="4"/>
        <v>4</v>
      </c>
      <c r="D13" s="279">
        <f t="shared" si="5"/>
        <v>4</v>
      </c>
      <c r="E13" s="279" t="str">
        <f t="shared" si="6"/>
        <v>K</v>
      </c>
      <c r="F13" s="279" t="s">
        <v>18</v>
      </c>
      <c r="G13" s="279" t="s">
        <v>633</v>
      </c>
      <c r="H13" s="279" t="s">
        <v>634</v>
      </c>
      <c r="I13" s="279" t="s">
        <v>207</v>
      </c>
      <c r="J13" s="279">
        <v>32</v>
      </c>
      <c r="K13" s="279" t="s">
        <v>104</v>
      </c>
      <c r="L13" s="279" t="s">
        <v>104</v>
      </c>
      <c r="M13" s="279" t="s">
        <v>40</v>
      </c>
      <c r="N13" s="280" t="s">
        <v>40</v>
      </c>
      <c r="O13" s="279" t="s">
        <v>224</v>
      </c>
      <c r="P13" s="280" t="s">
        <v>225</v>
      </c>
      <c r="Q13" s="279">
        <v>8</v>
      </c>
      <c r="R13" s="279">
        <v>7</v>
      </c>
      <c r="S13" s="279">
        <v>9</v>
      </c>
      <c r="T13" s="279">
        <v>6</v>
      </c>
      <c r="U13" s="280">
        <v>8</v>
      </c>
      <c r="V13" s="279">
        <v>8</v>
      </c>
      <c r="W13" s="279">
        <v>7</v>
      </c>
      <c r="X13" s="279">
        <v>9</v>
      </c>
      <c r="Y13" s="279">
        <v>6</v>
      </c>
      <c r="Z13" s="280">
        <v>8</v>
      </c>
      <c r="AA13" s="279">
        <v>6</v>
      </c>
      <c r="AB13" s="279">
        <v>4</v>
      </c>
      <c r="AC13" s="279">
        <v>1</v>
      </c>
      <c r="AD13" s="279" t="s">
        <v>41</v>
      </c>
      <c r="AE13" s="279">
        <v>5</v>
      </c>
      <c r="AF13" s="279" t="s">
        <v>41</v>
      </c>
      <c r="AG13" s="279" t="s">
        <v>41</v>
      </c>
      <c r="AH13" s="279" t="s">
        <v>41</v>
      </c>
      <c r="AI13" s="279" t="s">
        <v>41</v>
      </c>
      <c r="AJ13" s="279" t="s">
        <v>41</v>
      </c>
      <c r="AK13" s="280" t="s">
        <v>41</v>
      </c>
      <c r="AL13" s="279">
        <v>2</v>
      </c>
      <c r="AM13" s="279">
        <v>2</v>
      </c>
      <c r="AN13" s="280">
        <v>2</v>
      </c>
      <c r="AO13" s="281">
        <v>8500000</v>
      </c>
      <c r="AP13" s="280">
        <v>1</v>
      </c>
      <c r="AQ13" s="282">
        <f t="shared" si="7"/>
        <v>8.4166666666666679</v>
      </c>
      <c r="AR13" s="283" t="str">
        <f t="shared" si="8"/>
        <v>Star</v>
      </c>
      <c r="AS13" s="282">
        <f t="shared" si="9"/>
        <v>8.4166666666666679</v>
      </c>
      <c r="AT13" s="282" t="str">
        <f t="shared" si="10"/>
        <v>Star</v>
      </c>
      <c r="AU13" s="283">
        <f t="shared" si="11"/>
        <v>8.4166666666666679</v>
      </c>
      <c r="AV13" s="283" t="str">
        <f t="shared" si="12"/>
        <v>Star</v>
      </c>
      <c r="AW13" s="284">
        <f t="shared" si="13"/>
        <v>0</v>
      </c>
      <c r="AX13" s="285">
        <f t="shared" si="14"/>
        <v>1</v>
      </c>
      <c r="AY13" s="285">
        <f t="shared" si="15"/>
        <v>0</v>
      </c>
      <c r="AZ13" s="285">
        <f t="shared" si="16"/>
        <v>1</v>
      </c>
      <c r="BA13" s="285">
        <f t="shared" si="17"/>
        <v>1</v>
      </c>
      <c r="BB13" s="285">
        <f t="shared" si="18"/>
        <v>1</v>
      </c>
      <c r="BC13" s="285">
        <f t="shared" si="19"/>
        <v>1</v>
      </c>
      <c r="BD13" s="285">
        <f t="shared" si="20"/>
        <v>1</v>
      </c>
      <c r="BE13" s="280">
        <f t="shared" si="21"/>
        <v>1</v>
      </c>
      <c r="BF13" s="284">
        <f t="shared" si="22"/>
        <v>0</v>
      </c>
      <c r="BG13" s="285">
        <f t="shared" si="23"/>
        <v>1</v>
      </c>
      <c r="BH13" s="285">
        <f t="shared" si="24"/>
        <v>0</v>
      </c>
      <c r="BI13" s="285">
        <f t="shared" si="25"/>
        <v>1</v>
      </c>
      <c r="BJ13" s="285">
        <f t="shared" si="26"/>
        <v>1</v>
      </c>
      <c r="BK13" s="285">
        <f t="shared" si="27"/>
        <v>1</v>
      </c>
      <c r="BL13" s="285">
        <f t="shared" si="28"/>
        <v>1</v>
      </c>
      <c r="BM13" s="285">
        <f t="shared" si="29"/>
        <v>1</v>
      </c>
      <c r="BN13" s="280">
        <f t="shared" si="30"/>
        <v>1</v>
      </c>
      <c r="BO13" s="280">
        <f t="shared" si="31"/>
        <v>0</v>
      </c>
      <c r="BP13" s="286">
        <f t="shared" si="32"/>
        <v>1</v>
      </c>
      <c r="BQ13" s="279" t="str">
        <f t="shared" si="33"/>
        <v>Yes</v>
      </c>
      <c r="BR13" s="278" t="str">
        <f t="shared" si="34"/>
        <v>Likely</v>
      </c>
      <c r="BS13" s="279" t="str">
        <f t="shared" si="35"/>
        <v>Start</v>
      </c>
      <c r="BT13" s="279" t="str">
        <f t="shared" si="36"/>
        <v>Start</v>
      </c>
      <c r="BU13" s="279" t="str">
        <f t="shared" si="37"/>
        <v>ML</v>
      </c>
      <c r="BV13" s="279">
        <f t="shared" si="38"/>
        <v>0</v>
      </c>
      <c r="BW13" s="279">
        <f t="shared" si="39"/>
        <v>0</v>
      </c>
      <c r="BX13" s="279">
        <f t="shared" si="40"/>
        <v>0</v>
      </c>
      <c r="BY13" s="279">
        <f t="shared" si="41"/>
        <v>0</v>
      </c>
      <c r="BZ13" s="279">
        <f t="shared" si="42"/>
        <v>0</v>
      </c>
      <c r="CA13" s="279">
        <f t="shared" si="43"/>
        <v>0</v>
      </c>
      <c r="CB13" s="279">
        <f t="shared" si="44"/>
        <v>23</v>
      </c>
      <c r="CC13" s="279">
        <f t="shared" si="45"/>
        <v>17</v>
      </c>
      <c r="CD13" s="279">
        <f t="shared" si="46"/>
        <v>14</v>
      </c>
      <c r="CE13" s="279" t="str">
        <f t="shared" si="47"/>
        <v>Now - Age</v>
      </c>
      <c r="CF13" s="294" t="str">
        <f t="shared" si="48"/>
        <v/>
      </c>
      <c r="CG13" s="294" t="str">
        <f t="shared" si="49"/>
        <v/>
      </c>
      <c r="CH13" s="294" t="str">
        <f t="shared" si="50"/>
        <v/>
      </c>
      <c r="CI13" s="294" t="str">
        <f t="shared" si="51"/>
        <v/>
      </c>
      <c r="CJ13" s="294" t="str">
        <f t="shared" si="52"/>
        <v/>
      </c>
      <c r="CK13" s="294" t="str">
        <f t="shared" si="53"/>
        <v/>
      </c>
      <c r="CL13" s="294" t="str">
        <f t="shared" si="54"/>
        <v/>
      </c>
      <c r="CM13" s="294" t="str">
        <f t="shared" si="55"/>
        <v/>
      </c>
      <c r="CN13" s="294" t="str">
        <f t="shared" si="56"/>
        <v>X</v>
      </c>
    </row>
    <row r="14" spans="1:92">
      <c r="A14" s="277" t="str">
        <f>IF(ISERROR(VLOOKUP(G14,CON!$C$3:$C$24,1,FALSE)),IF(ISERROR(VLOOKUP(G14,'PSP-AAA'!$C$6:$C$33,1,FALSE)),IF(ISERROR(VLOOKUP(G14,'NH-AA'!$C$6:$C$33,1,FALSE)),IF(ISERROR(VLOOKUP(G14,'CRG-A'!$C$6:$C$33,1,FALSE)),IF(ISERROR(VLOOKUP(G14,'PC-S A'!$C$6:$C$33,1,FALSE)),"","S A"),"A"),"AA"),"AAA"),"ML")</f>
        <v>ML</v>
      </c>
      <c r="B14" s="278"/>
      <c r="C14" s="279">
        <f t="shared" si="4"/>
        <v>3</v>
      </c>
      <c r="D14" s="279">
        <f t="shared" si="5"/>
        <v>3</v>
      </c>
      <c r="E14" s="279" t="str">
        <f t="shared" si="6"/>
        <v>K</v>
      </c>
      <c r="F14" s="279" t="s">
        <v>92</v>
      </c>
      <c r="G14" s="279" t="s">
        <v>635</v>
      </c>
      <c r="H14" s="279" t="s">
        <v>25</v>
      </c>
      <c r="I14" s="279" t="s">
        <v>207</v>
      </c>
      <c r="J14" s="279">
        <v>30</v>
      </c>
      <c r="K14" s="279" t="s">
        <v>104</v>
      </c>
      <c r="L14" s="279" t="s">
        <v>104</v>
      </c>
      <c r="M14" s="279" t="s">
        <v>48</v>
      </c>
      <c r="N14" s="280" t="s">
        <v>48</v>
      </c>
      <c r="O14" s="279" t="s">
        <v>223</v>
      </c>
      <c r="P14" s="280" t="s">
        <v>224</v>
      </c>
      <c r="Q14" s="279">
        <v>7</v>
      </c>
      <c r="R14" s="279">
        <v>7</v>
      </c>
      <c r="S14" s="279">
        <v>8</v>
      </c>
      <c r="T14" s="279">
        <v>7</v>
      </c>
      <c r="U14" s="280">
        <v>6</v>
      </c>
      <c r="V14" s="279">
        <v>7</v>
      </c>
      <c r="W14" s="279">
        <v>7</v>
      </c>
      <c r="X14" s="279">
        <v>8</v>
      </c>
      <c r="Y14" s="279">
        <v>7</v>
      </c>
      <c r="Z14" s="280">
        <v>6</v>
      </c>
      <c r="AA14" s="279">
        <v>5</v>
      </c>
      <c r="AB14" s="279">
        <v>5</v>
      </c>
      <c r="AC14" s="279">
        <v>8</v>
      </c>
      <c r="AD14" s="279">
        <v>9</v>
      </c>
      <c r="AE14" s="279">
        <v>2</v>
      </c>
      <c r="AF14" s="279" t="s">
        <v>41</v>
      </c>
      <c r="AG14" s="279" t="s">
        <v>41</v>
      </c>
      <c r="AH14" s="279" t="s">
        <v>41</v>
      </c>
      <c r="AI14" s="279" t="s">
        <v>41</v>
      </c>
      <c r="AJ14" s="279" t="s">
        <v>41</v>
      </c>
      <c r="AK14" s="280" t="s">
        <v>41</v>
      </c>
      <c r="AL14" s="279">
        <v>1</v>
      </c>
      <c r="AM14" s="279">
        <v>2</v>
      </c>
      <c r="AN14" s="280">
        <v>2</v>
      </c>
      <c r="AO14" s="279">
        <v>9000000</v>
      </c>
      <c r="AP14" s="280">
        <v>3</v>
      </c>
      <c r="AQ14" s="282">
        <f t="shared" si="7"/>
        <v>8.0833333333333321</v>
      </c>
      <c r="AR14" s="283" t="str">
        <f t="shared" si="8"/>
        <v>Star</v>
      </c>
      <c r="AS14" s="282">
        <f t="shared" si="9"/>
        <v>8.0833333333333321</v>
      </c>
      <c r="AT14" s="282" t="str">
        <f t="shared" si="10"/>
        <v>Star</v>
      </c>
      <c r="AU14" s="283">
        <f t="shared" si="11"/>
        <v>8.0833333333333321</v>
      </c>
      <c r="AV14" s="283" t="str">
        <f t="shared" si="12"/>
        <v>Star</v>
      </c>
      <c r="AW14" s="284">
        <f t="shared" si="13"/>
        <v>0</v>
      </c>
      <c r="AX14" s="285">
        <f t="shared" si="14"/>
        <v>1</v>
      </c>
      <c r="AY14" s="285">
        <f t="shared" si="15"/>
        <v>1</v>
      </c>
      <c r="AZ14" s="285">
        <f t="shared" si="16"/>
        <v>1</v>
      </c>
      <c r="BA14" s="285">
        <f t="shared" si="17"/>
        <v>1</v>
      </c>
      <c r="BB14" s="285">
        <f t="shared" si="18"/>
        <v>1</v>
      </c>
      <c r="BC14" s="285">
        <f t="shared" si="19"/>
        <v>1</v>
      </c>
      <c r="BD14" s="285">
        <f t="shared" si="20"/>
        <v>1</v>
      </c>
      <c r="BE14" s="280">
        <f t="shared" si="21"/>
        <v>1</v>
      </c>
      <c r="BF14" s="284">
        <f t="shared" si="22"/>
        <v>0</v>
      </c>
      <c r="BG14" s="285">
        <f t="shared" si="23"/>
        <v>1</v>
      </c>
      <c r="BH14" s="285">
        <f t="shared" si="24"/>
        <v>1</v>
      </c>
      <c r="BI14" s="285">
        <f t="shared" si="25"/>
        <v>1</v>
      </c>
      <c r="BJ14" s="285">
        <f t="shared" si="26"/>
        <v>1</v>
      </c>
      <c r="BK14" s="285">
        <f t="shared" si="27"/>
        <v>1</v>
      </c>
      <c r="BL14" s="285">
        <f t="shared" si="28"/>
        <v>1</v>
      </c>
      <c r="BM14" s="285">
        <f t="shared" si="29"/>
        <v>1</v>
      </c>
      <c r="BN14" s="280">
        <f t="shared" si="30"/>
        <v>1</v>
      </c>
      <c r="BO14" s="280">
        <f t="shared" si="31"/>
        <v>0</v>
      </c>
      <c r="BP14" s="286">
        <f t="shared" si="32"/>
        <v>2</v>
      </c>
      <c r="BQ14" s="279" t="str">
        <f t="shared" si="33"/>
        <v/>
      </c>
      <c r="BR14" s="278" t="str">
        <f t="shared" si="34"/>
        <v>There</v>
      </c>
      <c r="BS14" s="279" t="str">
        <f t="shared" si="35"/>
        <v>Start</v>
      </c>
      <c r="BT14" s="279" t="str">
        <f t="shared" si="36"/>
        <v>Start</v>
      </c>
      <c r="BU14" s="279" t="str">
        <f t="shared" si="37"/>
        <v>ML</v>
      </c>
      <c r="BV14" s="279">
        <f t="shared" si="38"/>
        <v>0</v>
      </c>
      <c r="BW14" s="279">
        <f t="shared" si="39"/>
        <v>0</v>
      </c>
      <c r="BX14" s="279">
        <f t="shared" si="40"/>
        <v>0</v>
      </c>
      <c r="BY14" s="279">
        <f t="shared" si="41"/>
        <v>0</v>
      </c>
      <c r="BZ14" s="279">
        <f t="shared" si="42"/>
        <v>0</v>
      </c>
      <c r="CA14" s="279">
        <f t="shared" si="43"/>
        <v>0</v>
      </c>
      <c r="CB14" s="279">
        <f t="shared" si="44"/>
        <v>22</v>
      </c>
      <c r="CC14" s="279">
        <f t="shared" si="45"/>
        <v>15</v>
      </c>
      <c r="CD14" s="279">
        <f t="shared" si="46"/>
        <v>14</v>
      </c>
      <c r="CE14" s="279" t="str">
        <f t="shared" si="47"/>
        <v>Now - Age</v>
      </c>
      <c r="CF14" s="294" t="str">
        <f t="shared" si="48"/>
        <v>X</v>
      </c>
      <c r="CG14" s="294" t="str">
        <f t="shared" si="49"/>
        <v/>
      </c>
      <c r="CH14" s="294" t="str">
        <f t="shared" si="50"/>
        <v/>
      </c>
      <c r="CI14" s="294" t="str">
        <f t="shared" si="51"/>
        <v/>
      </c>
      <c r="CJ14" s="294" t="str">
        <f t="shared" si="52"/>
        <v/>
      </c>
      <c r="CK14" s="294" t="str">
        <f t="shared" si="53"/>
        <v/>
      </c>
      <c r="CL14" s="294" t="str">
        <f t="shared" si="54"/>
        <v/>
      </c>
      <c r="CM14" s="294" t="str">
        <f t="shared" si="55"/>
        <v/>
      </c>
      <c r="CN14" s="294" t="str">
        <f t="shared" si="56"/>
        <v/>
      </c>
    </row>
    <row r="15" spans="1:92">
      <c r="A15" s="277" t="str">
        <f>IF(ISERROR(VLOOKUP(G15,CON!$C$3:$C$24,1,FALSE)),IF(ISERROR(VLOOKUP(G15,'PSP-AAA'!$C$6:$C$33,1,FALSE)),IF(ISERROR(VLOOKUP(G15,'NH-AA'!$C$6:$C$33,1,FALSE)),IF(ISERROR(VLOOKUP(G15,'CRG-A'!$C$6:$C$33,1,FALSE)),IF(ISERROR(VLOOKUP(G15,'PC-S A'!$C$6:$C$33,1,FALSE)),"","S A"),"A"),"AA"),"AAA"),"ML")</f>
        <v/>
      </c>
      <c r="B15" s="278"/>
      <c r="C15" s="279">
        <f t="shared" si="4"/>
        <v>4</v>
      </c>
      <c r="D15" s="279">
        <f t="shared" si="5"/>
        <v>4</v>
      </c>
      <c r="E15" s="279" t="str">
        <f t="shared" si="6"/>
        <v>K</v>
      </c>
      <c r="F15" s="279" t="s">
        <v>96</v>
      </c>
      <c r="G15" s="279" t="s">
        <v>636</v>
      </c>
      <c r="H15" s="279" t="s">
        <v>638</v>
      </c>
      <c r="I15" s="279" t="s">
        <v>207</v>
      </c>
      <c r="J15" s="279">
        <v>28</v>
      </c>
      <c r="K15" s="279" t="s">
        <v>104</v>
      </c>
      <c r="L15" s="279" t="s">
        <v>104</v>
      </c>
      <c r="M15" s="279" t="s">
        <v>42</v>
      </c>
      <c r="N15" s="280" t="s">
        <v>40</v>
      </c>
      <c r="O15" s="279" t="s">
        <v>224</v>
      </c>
      <c r="P15" s="280" t="s">
        <v>224</v>
      </c>
      <c r="Q15" s="279">
        <v>7</v>
      </c>
      <c r="R15" s="279">
        <v>7</v>
      </c>
      <c r="S15" s="279">
        <v>8</v>
      </c>
      <c r="T15" s="279">
        <v>6</v>
      </c>
      <c r="U15" s="280">
        <v>10</v>
      </c>
      <c r="V15" s="279">
        <v>7</v>
      </c>
      <c r="W15" s="279">
        <v>7</v>
      </c>
      <c r="X15" s="279">
        <v>8</v>
      </c>
      <c r="Y15" s="279">
        <v>6</v>
      </c>
      <c r="Z15" s="280">
        <v>10</v>
      </c>
      <c r="AA15" s="279">
        <v>7</v>
      </c>
      <c r="AB15" s="279">
        <v>1</v>
      </c>
      <c r="AC15" s="279">
        <v>1</v>
      </c>
      <c r="AD15" s="279" t="s">
        <v>41</v>
      </c>
      <c r="AE15" s="279" t="s">
        <v>41</v>
      </c>
      <c r="AF15" s="279">
        <v>3</v>
      </c>
      <c r="AG15" s="279">
        <v>6</v>
      </c>
      <c r="AH15" s="279">
        <v>1</v>
      </c>
      <c r="AI15" s="279" t="s">
        <v>41</v>
      </c>
      <c r="AJ15" s="279" t="s">
        <v>41</v>
      </c>
      <c r="AK15" s="280" t="s">
        <v>41</v>
      </c>
      <c r="AL15" s="279">
        <v>4</v>
      </c>
      <c r="AM15" s="279">
        <v>3</v>
      </c>
      <c r="AN15" s="280">
        <v>1</v>
      </c>
      <c r="AO15" s="281">
        <v>3570000</v>
      </c>
      <c r="AP15" s="280" t="s">
        <v>46</v>
      </c>
      <c r="AQ15" s="282">
        <f t="shared" si="7"/>
        <v>7.75</v>
      </c>
      <c r="AR15" s="283" t="str">
        <f t="shared" si="8"/>
        <v>GoodReg</v>
      </c>
      <c r="AS15" s="282">
        <f t="shared" si="9"/>
        <v>7.75</v>
      </c>
      <c r="AT15" s="282" t="str">
        <f t="shared" si="10"/>
        <v>GoodReg</v>
      </c>
      <c r="AU15" s="283">
        <f t="shared" si="11"/>
        <v>7.75</v>
      </c>
      <c r="AV15" s="283" t="str">
        <f t="shared" si="12"/>
        <v>GoodReg</v>
      </c>
      <c r="AW15" s="284">
        <f t="shared" si="13"/>
        <v>0</v>
      </c>
      <c r="AX15" s="285">
        <f t="shared" si="14"/>
        <v>1</v>
      </c>
      <c r="AY15" s="285">
        <f t="shared" si="15"/>
        <v>0</v>
      </c>
      <c r="AZ15" s="285">
        <f t="shared" si="16"/>
        <v>1</v>
      </c>
      <c r="BA15" s="285">
        <f t="shared" si="17"/>
        <v>1</v>
      </c>
      <c r="BB15" s="285">
        <f t="shared" si="18"/>
        <v>1</v>
      </c>
      <c r="BC15" s="285">
        <f t="shared" si="19"/>
        <v>1</v>
      </c>
      <c r="BD15" s="285">
        <f t="shared" si="20"/>
        <v>1</v>
      </c>
      <c r="BE15" s="280">
        <f t="shared" si="21"/>
        <v>1</v>
      </c>
      <c r="BF15" s="284">
        <f t="shared" si="22"/>
        <v>0</v>
      </c>
      <c r="BG15" s="285">
        <f t="shared" si="23"/>
        <v>1</v>
      </c>
      <c r="BH15" s="285">
        <f t="shared" si="24"/>
        <v>0</v>
      </c>
      <c r="BI15" s="285">
        <f t="shared" si="25"/>
        <v>1</v>
      </c>
      <c r="BJ15" s="285">
        <f t="shared" si="26"/>
        <v>1</v>
      </c>
      <c r="BK15" s="285">
        <f t="shared" si="27"/>
        <v>1</v>
      </c>
      <c r="BL15" s="285">
        <f t="shared" si="28"/>
        <v>1</v>
      </c>
      <c r="BM15" s="285">
        <f t="shared" si="29"/>
        <v>1</v>
      </c>
      <c r="BN15" s="280">
        <f t="shared" si="30"/>
        <v>1</v>
      </c>
      <c r="BO15" s="280">
        <f t="shared" si="31"/>
        <v>0</v>
      </c>
      <c r="BP15" s="286">
        <f t="shared" si="32"/>
        <v>1</v>
      </c>
      <c r="BQ15" s="279" t="str">
        <f t="shared" si="33"/>
        <v/>
      </c>
      <c r="BR15" s="278" t="str">
        <f t="shared" si="34"/>
        <v>Likely</v>
      </c>
      <c r="BS15" s="279" t="str">
        <f t="shared" si="35"/>
        <v>Start</v>
      </c>
      <c r="BT15" s="279" t="str">
        <f t="shared" si="36"/>
        <v>Start</v>
      </c>
      <c r="BU15" s="279" t="str">
        <f t="shared" si="37"/>
        <v>ML</v>
      </c>
      <c r="BV15" s="279">
        <f t="shared" si="38"/>
        <v>0</v>
      </c>
      <c r="BW15" s="279">
        <f t="shared" si="39"/>
        <v>0</v>
      </c>
      <c r="BX15" s="279">
        <f t="shared" si="40"/>
        <v>0</v>
      </c>
      <c r="BY15" s="279">
        <f t="shared" si="41"/>
        <v>0</v>
      </c>
      <c r="BZ15" s="279">
        <f t="shared" si="42"/>
        <v>0</v>
      </c>
      <c r="CA15" s="279">
        <f t="shared" si="43"/>
        <v>0</v>
      </c>
      <c r="CB15" s="279">
        <f t="shared" si="44"/>
        <v>21</v>
      </c>
      <c r="CC15" s="279">
        <f t="shared" si="45"/>
        <v>15</v>
      </c>
      <c r="CD15" s="279">
        <f t="shared" si="46"/>
        <v>13</v>
      </c>
      <c r="CE15" s="279" t="str">
        <f t="shared" si="47"/>
        <v>Now - Age</v>
      </c>
      <c r="CF15" s="294" t="str">
        <f t="shared" si="48"/>
        <v/>
      </c>
      <c r="CG15" s="294" t="str">
        <f t="shared" si="49"/>
        <v/>
      </c>
      <c r="CH15" s="294" t="str">
        <f t="shared" si="50"/>
        <v/>
      </c>
      <c r="CI15" s="294" t="str">
        <f t="shared" si="51"/>
        <v>X</v>
      </c>
      <c r="CJ15" s="294" t="str">
        <f t="shared" si="52"/>
        <v/>
      </c>
      <c r="CK15" s="294" t="str">
        <f t="shared" si="53"/>
        <v/>
      </c>
      <c r="CL15" s="294" t="str">
        <f t="shared" si="54"/>
        <v/>
      </c>
      <c r="CM15" s="294" t="str">
        <f t="shared" si="55"/>
        <v/>
      </c>
      <c r="CN15" s="294" t="str">
        <f t="shared" si="56"/>
        <v/>
      </c>
    </row>
    <row r="16" spans="1:92">
      <c r="A16" s="277"/>
      <c r="B16" s="278"/>
      <c r="C16" s="279">
        <f t="shared" si="4"/>
        <v>2</v>
      </c>
      <c r="D16" s="279">
        <f t="shared" si="5"/>
        <v>2</v>
      </c>
      <c r="E16" s="279" t="str">
        <f t="shared" si="6"/>
        <v>K</v>
      </c>
      <c r="F16" s="279" t="s">
        <v>94</v>
      </c>
      <c r="G16" s="279" t="s">
        <v>604</v>
      </c>
      <c r="H16" s="279" t="s">
        <v>41</v>
      </c>
      <c r="I16" s="279" t="s">
        <v>41</v>
      </c>
      <c r="J16" s="279">
        <v>31</v>
      </c>
      <c r="K16" s="279" t="s">
        <v>104</v>
      </c>
      <c r="L16" s="279" t="s">
        <v>104</v>
      </c>
      <c r="M16" s="279" t="s">
        <v>48</v>
      </c>
      <c r="N16" s="280" t="s">
        <v>48</v>
      </c>
      <c r="O16" s="279" t="s">
        <v>223</v>
      </c>
      <c r="P16" s="280" t="s">
        <v>224</v>
      </c>
      <c r="Q16" s="279">
        <v>7</v>
      </c>
      <c r="R16" s="279">
        <v>8</v>
      </c>
      <c r="S16" s="279">
        <v>6</v>
      </c>
      <c r="T16" s="279">
        <v>8</v>
      </c>
      <c r="U16" s="280">
        <v>8</v>
      </c>
      <c r="V16" s="279">
        <v>7</v>
      </c>
      <c r="W16" s="279">
        <v>8</v>
      </c>
      <c r="X16" s="279">
        <v>6</v>
      </c>
      <c r="Y16" s="279">
        <v>9</v>
      </c>
      <c r="Z16" s="280">
        <v>8</v>
      </c>
      <c r="AA16" s="279">
        <v>9</v>
      </c>
      <c r="AB16" s="279">
        <v>4</v>
      </c>
      <c r="AC16" s="279">
        <v>1</v>
      </c>
      <c r="AD16" s="279" t="s">
        <v>41</v>
      </c>
      <c r="AE16" s="279">
        <v>10</v>
      </c>
      <c r="AF16" s="279">
        <v>7</v>
      </c>
      <c r="AG16" s="279">
        <v>8</v>
      </c>
      <c r="AH16" s="279">
        <v>5</v>
      </c>
      <c r="AI16" s="279" t="s">
        <v>41</v>
      </c>
      <c r="AJ16" s="279" t="s">
        <v>41</v>
      </c>
      <c r="AK16" s="280" t="s">
        <v>41</v>
      </c>
      <c r="AL16" s="279">
        <v>6</v>
      </c>
      <c r="AM16" s="279">
        <v>10</v>
      </c>
      <c r="AN16" s="280">
        <v>10</v>
      </c>
      <c r="AO16" s="281" t="s">
        <v>599</v>
      </c>
      <c r="AP16" s="280">
        <v>0</v>
      </c>
      <c r="AQ16" s="282">
        <f t="shared" si="7"/>
        <v>7.5</v>
      </c>
      <c r="AR16" s="283" t="str">
        <f t="shared" si="8"/>
        <v>GoodReg</v>
      </c>
      <c r="AS16" s="282">
        <f t="shared" si="9"/>
        <v>7.833333333333333</v>
      </c>
      <c r="AT16" s="282" t="str">
        <f t="shared" si="10"/>
        <v>GoodReg</v>
      </c>
      <c r="AU16" s="283">
        <f t="shared" si="11"/>
        <v>7.5</v>
      </c>
      <c r="AV16" s="283" t="str">
        <f t="shared" si="12"/>
        <v>GoodReg</v>
      </c>
      <c r="AW16" s="284">
        <f t="shared" si="13"/>
        <v>0</v>
      </c>
      <c r="AX16" s="285">
        <f t="shared" si="14"/>
        <v>1</v>
      </c>
      <c r="AY16" s="285">
        <f t="shared" si="15"/>
        <v>0</v>
      </c>
      <c r="AZ16" s="285">
        <f t="shared" si="16"/>
        <v>0</v>
      </c>
      <c r="BA16" s="285">
        <f t="shared" si="17"/>
        <v>0</v>
      </c>
      <c r="BB16" s="285">
        <f t="shared" si="18"/>
        <v>1</v>
      </c>
      <c r="BC16" s="285">
        <f t="shared" si="19"/>
        <v>1</v>
      </c>
      <c r="BD16" s="285">
        <f t="shared" si="20"/>
        <v>1</v>
      </c>
      <c r="BE16" s="280">
        <f t="shared" si="21"/>
        <v>1</v>
      </c>
      <c r="BF16" s="284">
        <f t="shared" si="22"/>
        <v>0</v>
      </c>
      <c r="BG16" s="285">
        <f t="shared" si="23"/>
        <v>1</v>
      </c>
      <c r="BH16" s="285">
        <f t="shared" si="24"/>
        <v>0</v>
      </c>
      <c r="BI16" s="285">
        <f t="shared" si="25"/>
        <v>0</v>
      </c>
      <c r="BJ16" s="285">
        <f t="shared" si="26"/>
        <v>0</v>
      </c>
      <c r="BK16" s="285">
        <f t="shared" si="27"/>
        <v>1</v>
      </c>
      <c r="BL16" s="285">
        <f t="shared" si="28"/>
        <v>1</v>
      </c>
      <c r="BM16" s="285">
        <f t="shared" si="29"/>
        <v>1</v>
      </c>
      <c r="BN16" s="280">
        <f t="shared" si="30"/>
        <v>1</v>
      </c>
      <c r="BO16" s="280">
        <f t="shared" si="31"/>
        <v>4</v>
      </c>
      <c r="BP16" s="286">
        <f t="shared" si="32"/>
        <v>2</v>
      </c>
      <c r="BQ16" s="279" t="str">
        <f t="shared" si="33"/>
        <v/>
      </c>
      <c r="BR16" s="278" t="str">
        <f t="shared" si="34"/>
        <v>Likely</v>
      </c>
      <c r="BS16" s="279" t="str">
        <f t="shared" si="35"/>
        <v>Start</v>
      </c>
      <c r="BT16" s="279" t="str">
        <f t="shared" si="36"/>
        <v>Start</v>
      </c>
      <c r="BU16" s="279" t="str">
        <f t="shared" si="37"/>
        <v>ML</v>
      </c>
      <c r="BV16" s="279">
        <f t="shared" si="38"/>
        <v>0</v>
      </c>
      <c r="BW16" s="279">
        <f t="shared" si="39"/>
        <v>0</v>
      </c>
      <c r="BX16" s="279">
        <f t="shared" si="40"/>
        <v>0</v>
      </c>
      <c r="BY16" s="279">
        <f t="shared" si="41"/>
        <v>-1</v>
      </c>
      <c r="BZ16" s="279">
        <f t="shared" si="42"/>
        <v>0</v>
      </c>
      <c r="CA16" s="279">
        <f t="shared" si="43"/>
        <v>-1</v>
      </c>
      <c r="CB16" s="279">
        <f t="shared" si="44"/>
        <v>22</v>
      </c>
      <c r="CC16" s="279">
        <f t="shared" si="45"/>
        <v>13</v>
      </c>
      <c r="CD16" s="279">
        <f t="shared" si="46"/>
        <v>16</v>
      </c>
      <c r="CE16" s="279" t="str">
        <f t="shared" si="47"/>
        <v>Now - Age</v>
      </c>
      <c r="CF16" s="294" t="str">
        <f t="shared" si="48"/>
        <v/>
      </c>
      <c r="CG16" s="294" t="str">
        <f t="shared" si="49"/>
        <v>X</v>
      </c>
      <c r="CH16" s="294" t="str">
        <f t="shared" si="50"/>
        <v>X</v>
      </c>
      <c r="CI16" s="294" t="str">
        <f t="shared" si="51"/>
        <v>X</v>
      </c>
      <c r="CJ16" s="294" t="str">
        <f t="shared" si="52"/>
        <v/>
      </c>
      <c r="CK16" s="294" t="str">
        <f t="shared" si="53"/>
        <v/>
      </c>
      <c r="CL16" s="294" t="str">
        <f t="shared" si="54"/>
        <v/>
      </c>
      <c r="CM16" s="294" t="str">
        <f t="shared" si="55"/>
        <v/>
      </c>
      <c r="CN16" s="294" t="str">
        <f t="shared" si="56"/>
        <v/>
      </c>
    </row>
    <row r="17" spans="1:92">
      <c r="A17" s="277" t="str">
        <f>IF(ISERROR(VLOOKUP(G17,CON!$C$3:$C$24,1,FALSE)),IF(ISERROR(VLOOKUP(G17,'PSP-AAA'!$C$6:$C$33,1,FALSE)),IF(ISERROR(VLOOKUP(G17,'NH-AA'!$C$6:$C$33,1,FALSE)),IF(ISERROR(VLOOKUP(G17,'CRG-A'!$C$6:$C$33,1,FALSE)),IF(ISERROR(VLOOKUP(G17,'PC-S A'!$C$6:$C$33,1,FALSE)),"","S A"),"A"),"AA"),"AAA"),"ML")</f>
        <v>ML</v>
      </c>
      <c r="B17" s="278"/>
      <c r="C17" s="279">
        <f t="shared" si="4"/>
        <v>1</v>
      </c>
      <c r="D17" s="279">
        <f t="shared" si="5"/>
        <v>1</v>
      </c>
      <c r="E17" s="279" t="str">
        <f t="shared" si="6"/>
        <v>K</v>
      </c>
      <c r="F17" s="279" t="s">
        <v>98</v>
      </c>
      <c r="G17" s="279" t="s">
        <v>408</v>
      </c>
      <c r="H17" s="279" t="s">
        <v>25</v>
      </c>
      <c r="I17" s="279" t="s">
        <v>207</v>
      </c>
      <c r="J17" s="279">
        <v>27</v>
      </c>
      <c r="K17" s="279" t="s">
        <v>103</v>
      </c>
      <c r="L17" s="279" t="s">
        <v>103</v>
      </c>
      <c r="M17" s="279" t="s">
        <v>40</v>
      </c>
      <c r="N17" s="280" t="s">
        <v>48</v>
      </c>
      <c r="O17" s="279" t="s">
        <v>225</v>
      </c>
      <c r="P17" s="280" t="s">
        <v>223</v>
      </c>
      <c r="Q17" s="279">
        <v>8</v>
      </c>
      <c r="R17" s="279">
        <v>7</v>
      </c>
      <c r="S17" s="279">
        <v>7</v>
      </c>
      <c r="T17" s="279">
        <v>6</v>
      </c>
      <c r="U17" s="280">
        <v>9</v>
      </c>
      <c r="V17" s="279">
        <v>8</v>
      </c>
      <c r="W17" s="279">
        <v>7</v>
      </c>
      <c r="X17" s="279">
        <v>7</v>
      </c>
      <c r="Y17" s="279">
        <v>6</v>
      </c>
      <c r="Z17" s="280">
        <v>9</v>
      </c>
      <c r="AA17" s="279">
        <v>1</v>
      </c>
      <c r="AB17" s="279">
        <v>4</v>
      </c>
      <c r="AC17" s="279">
        <v>1</v>
      </c>
      <c r="AD17" s="279" t="s">
        <v>41</v>
      </c>
      <c r="AE17" s="279" t="s">
        <v>41</v>
      </c>
      <c r="AF17" s="279" t="s">
        <v>41</v>
      </c>
      <c r="AG17" s="279" t="s">
        <v>41</v>
      </c>
      <c r="AH17" s="279" t="s">
        <v>41</v>
      </c>
      <c r="AI17" s="279">
        <v>10</v>
      </c>
      <c r="AJ17" s="279">
        <v>7</v>
      </c>
      <c r="AK17" s="280">
        <v>7</v>
      </c>
      <c r="AL17" s="279">
        <v>7</v>
      </c>
      <c r="AM17" s="279">
        <v>10</v>
      </c>
      <c r="AN17" s="280">
        <v>9</v>
      </c>
      <c r="AO17" s="281">
        <v>6875000</v>
      </c>
      <c r="AP17" s="280" t="s">
        <v>46</v>
      </c>
      <c r="AQ17" s="282">
        <f t="shared" si="7"/>
        <v>7.5</v>
      </c>
      <c r="AR17" s="283" t="str">
        <f t="shared" si="8"/>
        <v>GoodReg</v>
      </c>
      <c r="AS17" s="282">
        <f t="shared" si="9"/>
        <v>7.5</v>
      </c>
      <c r="AT17" s="282" t="str">
        <f t="shared" si="10"/>
        <v>GoodReg</v>
      </c>
      <c r="AU17" s="283">
        <f t="shared" si="11"/>
        <v>7.5</v>
      </c>
      <c r="AV17" s="283" t="str">
        <f t="shared" si="12"/>
        <v>GoodReg</v>
      </c>
      <c r="AW17" s="284">
        <f t="shared" si="13"/>
        <v>1</v>
      </c>
      <c r="AX17" s="285">
        <f t="shared" si="14"/>
        <v>1</v>
      </c>
      <c r="AY17" s="285">
        <f t="shared" si="15"/>
        <v>0</v>
      </c>
      <c r="AZ17" s="285">
        <f t="shared" si="16"/>
        <v>0</v>
      </c>
      <c r="BA17" s="285">
        <f t="shared" si="17"/>
        <v>1</v>
      </c>
      <c r="BB17" s="285">
        <f t="shared" si="18"/>
        <v>1</v>
      </c>
      <c r="BC17" s="285">
        <f t="shared" si="19"/>
        <v>1</v>
      </c>
      <c r="BD17" s="285">
        <f t="shared" si="20"/>
        <v>1</v>
      </c>
      <c r="BE17" s="280">
        <f t="shared" si="21"/>
        <v>1</v>
      </c>
      <c r="BF17" s="284">
        <f t="shared" si="22"/>
        <v>1</v>
      </c>
      <c r="BG17" s="285">
        <f t="shared" si="23"/>
        <v>1</v>
      </c>
      <c r="BH17" s="285">
        <f t="shared" si="24"/>
        <v>0</v>
      </c>
      <c r="BI17" s="285">
        <f t="shared" si="25"/>
        <v>0</v>
      </c>
      <c r="BJ17" s="285">
        <f t="shared" si="26"/>
        <v>1</v>
      </c>
      <c r="BK17" s="285">
        <f t="shared" si="27"/>
        <v>1</v>
      </c>
      <c r="BL17" s="285">
        <f t="shared" si="28"/>
        <v>1</v>
      </c>
      <c r="BM17" s="285">
        <f t="shared" si="29"/>
        <v>1</v>
      </c>
      <c r="BN17" s="280">
        <f t="shared" si="30"/>
        <v>1</v>
      </c>
      <c r="BO17" s="280">
        <f t="shared" si="31"/>
        <v>4</v>
      </c>
      <c r="BP17" s="286">
        <f t="shared" si="32"/>
        <v>2</v>
      </c>
      <c r="BQ17" s="279" t="str">
        <f t="shared" si="33"/>
        <v/>
      </c>
      <c r="BR17" s="278" t="str">
        <f t="shared" si="34"/>
        <v>There</v>
      </c>
      <c r="BS17" s="279" t="str">
        <f t="shared" si="35"/>
        <v>Start</v>
      </c>
      <c r="BT17" s="279" t="str">
        <f t="shared" si="36"/>
        <v>Start</v>
      </c>
      <c r="BU17" s="279" t="str">
        <f t="shared" si="37"/>
        <v>ML</v>
      </c>
      <c r="BV17" s="279">
        <f t="shared" si="38"/>
        <v>0</v>
      </c>
      <c r="BW17" s="279">
        <f t="shared" si="39"/>
        <v>0</v>
      </c>
      <c r="BX17" s="279">
        <f t="shared" si="40"/>
        <v>0</v>
      </c>
      <c r="BY17" s="279">
        <f t="shared" si="41"/>
        <v>0</v>
      </c>
      <c r="BZ17" s="279">
        <f t="shared" si="42"/>
        <v>0</v>
      </c>
      <c r="CA17" s="279">
        <f t="shared" si="43"/>
        <v>0</v>
      </c>
      <c r="CB17" s="279">
        <f t="shared" si="44"/>
        <v>21</v>
      </c>
      <c r="CC17" s="279">
        <f t="shared" si="45"/>
        <v>15</v>
      </c>
      <c r="CD17" s="279">
        <f t="shared" si="46"/>
        <v>14</v>
      </c>
      <c r="CE17" s="279" t="str">
        <f t="shared" si="47"/>
        <v>Now - Age</v>
      </c>
      <c r="CF17" s="294" t="str">
        <f t="shared" si="48"/>
        <v/>
      </c>
      <c r="CG17" s="294" t="str">
        <f t="shared" si="49"/>
        <v/>
      </c>
      <c r="CH17" s="294" t="str">
        <f t="shared" si="50"/>
        <v/>
      </c>
      <c r="CI17" s="294" t="str">
        <f t="shared" si="51"/>
        <v/>
      </c>
      <c r="CJ17" s="294" t="str">
        <f t="shared" si="52"/>
        <v/>
      </c>
      <c r="CK17" s="294" t="str">
        <f t="shared" si="53"/>
        <v>X</v>
      </c>
      <c r="CL17" s="294" t="str">
        <f t="shared" si="54"/>
        <v>X</v>
      </c>
      <c r="CM17" s="294" t="str">
        <f t="shared" si="55"/>
        <v/>
      </c>
      <c r="CN17" s="294" t="str">
        <f t="shared" si="56"/>
        <v/>
      </c>
    </row>
    <row r="18" spans="1:92">
      <c r="A18" s="277" t="str">
        <f>IF(ISERROR(VLOOKUP(G18,CON!$C$3:$C$24,1,FALSE)),IF(ISERROR(VLOOKUP(G18,'PSP-AAA'!$C$6:$C$33,1,FALSE)),IF(ISERROR(VLOOKUP(G18,'NH-AA'!$C$6:$C$33,1,FALSE)),IF(ISERROR(VLOOKUP(G18,'CRG-A'!$C$6:$C$33,1,FALSE)),IF(ISERROR(VLOOKUP(G18,'PC-S A'!$C$6:$C$33,1,FALSE)),"","S A"),"A"),"AA"),"AAA"),"ML")</f>
        <v>ML</v>
      </c>
      <c r="B18" s="278"/>
      <c r="C18" s="279">
        <f t="shared" si="4"/>
        <v>3</v>
      </c>
      <c r="D18" s="279">
        <f t="shared" si="5"/>
        <v>2</v>
      </c>
      <c r="E18" s="279" t="str">
        <f t="shared" si="6"/>
        <v>K</v>
      </c>
      <c r="F18" s="279" t="s">
        <v>94</v>
      </c>
      <c r="G18" s="279" t="s">
        <v>440</v>
      </c>
      <c r="H18" s="279" t="s">
        <v>371</v>
      </c>
      <c r="I18" s="279" t="s">
        <v>208</v>
      </c>
      <c r="J18" s="279">
        <v>23</v>
      </c>
      <c r="K18" s="279" t="s">
        <v>104</v>
      </c>
      <c r="L18" s="279" t="s">
        <v>104</v>
      </c>
      <c r="M18" s="279" t="s">
        <v>42</v>
      </c>
      <c r="N18" s="280" t="s">
        <v>44</v>
      </c>
      <c r="O18" s="279" t="s">
        <v>224</v>
      </c>
      <c r="P18" s="280" t="s">
        <v>223</v>
      </c>
      <c r="Q18" s="279">
        <v>7</v>
      </c>
      <c r="R18" s="279">
        <v>6</v>
      </c>
      <c r="S18" s="279">
        <v>5</v>
      </c>
      <c r="T18" s="279">
        <v>8</v>
      </c>
      <c r="U18" s="280">
        <v>9</v>
      </c>
      <c r="V18" s="279">
        <v>8</v>
      </c>
      <c r="W18" s="279">
        <v>6</v>
      </c>
      <c r="X18" s="279">
        <v>7</v>
      </c>
      <c r="Y18" s="279">
        <v>10</v>
      </c>
      <c r="Z18" s="280">
        <v>10</v>
      </c>
      <c r="AA18" s="279">
        <v>5</v>
      </c>
      <c r="AB18" s="279">
        <v>3</v>
      </c>
      <c r="AC18" s="279">
        <v>1</v>
      </c>
      <c r="AD18" s="279" t="s">
        <v>41</v>
      </c>
      <c r="AE18" s="279">
        <v>7</v>
      </c>
      <c r="AF18" s="279" t="s">
        <v>41</v>
      </c>
      <c r="AG18" s="279" t="s">
        <v>41</v>
      </c>
      <c r="AH18" s="279" t="s">
        <v>41</v>
      </c>
      <c r="AI18" s="279" t="s">
        <v>41</v>
      </c>
      <c r="AJ18" s="279" t="s">
        <v>41</v>
      </c>
      <c r="AK18" s="280" t="s">
        <v>41</v>
      </c>
      <c r="AL18" s="279">
        <v>5</v>
      </c>
      <c r="AM18" s="279">
        <v>5</v>
      </c>
      <c r="AN18" s="280">
        <v>3</v>
      </c>
      <c r="AO18" s="281" t="s">
        <v>41</v>
      </c>
      <c r="AP18" s="280">
        <v>0</v>
      </c>
      <c r="AQ18" s="282">
        <f t="shared" si="7"/>
        <v>7.166666666666667</v>
      </c>
      <c r="AR18" s="283" t="str">
        <f t="shared" si="8"/>
        <v>GoodReg</v>
      </c>
      <c r="AS18" s="282">
        <f t="shared" si="9"/>
        <v>8.8333333333333339</v>
      </c>
      <c r="AT18" s="282" t="str">
        <f t="shared" si="10"/>
        <v>Star</v>
      </c>
      <c r="AU18" s="283">
        <f t="shared" si="11"/>
        <v>8.8333333333333339</v>
      </c>
      <c r="AV18" s="283" t="str">
        <f t="shared" si="12"/>
        <v>Star</v>
      </c>
      <c r="AW18" s="284">
        <f t="shared" si="13"/>
        <v>0</v>
      </c>
      <c r="AX18" s="285">
        <f t="shared" si="14"/>
        <v>1</v>
      </c>
      <c r="AY18" s="285">
        <f t="shared" si="15"/>
        <v>0</v>
      </c>
      <c r="AZ18" s="285">
        <f t="shared" si="16"/>
        <v>0</v>
      </c>
      <c r="BA18" s="285">
        <f t="shared" si="17"/>
        <v>0</v>
      </c>
      <c r="BB18" s="285">
        <f t="shared" si="18"/>
        <v>1</v>
      </c>
      <c r="BC18" s="285">
        <f t="shared" si="19"/>
        <v>1</v>
      </c>
      <c r="BD18" s="285">
        <f t="shared" si="20"/>
        <v>1</v>
      </c>
      <c r="BE18" s="280">
        <f t="shared" si="21"/>
        <v>1</v>
      </c>
      <c r="BF18" s="284">
        <f t="shared" si="22"/>
        <v>0</v>
      </c>
      <c r="BG18" s="285">
        <f t="shared" si="23"/>
        <v>1</v>
      </c>
      <c r="BH18" s="285">
        <f t="shared" si="24"/>
        <v>1</v>
      </c>
      <c r="BI18" s="285">
        <f t="shared" si="25"/>
        <v>0</v>
      </c>
      <c r="BJ18" s="285">
        <f t="shared" si="26"/>
        <v>1</v>
      </c>
      <c r="BK18" s="285">
        <f t="shared" si="27"/>
        <v>1</v>
      </c>
      <c r="BL18" s="285">
        <f t="shared" si="28"/>
        <v>1</v>
      </c>
      <c r="BM18" s="285">
        <f t="shared" si="29"/>
        <v>1</v>
      </c>
      <c r="BN18" s="280">
        <f t="shared" si="30"/>
        <v>1</v>
      </c>
      <c r="BO18" s="280">
        <f t="shared" si="31"/>
        <v>0</v>
      </c>
      <c r="BP18" s="286">
        <f t="shared" si="32"/>
        <v>2</v>
      </c>
      <c r="BQ18" s="279" t="str">
        <f t="shared" si="33"/>
        <v/>
      </c>
      <c r="BR18" s="278" t="str">
        <f t="shared" si="34"/>
        <v>There</v>
      </c>
      <c r="BS18" s="279" t="str">
        <f t="shared" si="35"/>
        <v>Start</v>
      </c>
      <c r="BT18" s="279" t="str">
        <f t="shared" si="36"/>
        <v>Start</v>
      </c>
      <c r="BU18" s="279" t="str">
        <f t="shared" si="37"/>
        <v>ML</v>
      </c>
      <c r="BV18" s="279">
        <f t="shared" si="38"/>
        <v>-1</v>
      </c>
      <c r="BW18" s="279">
        <f t="shared" si="39"/>
        <v>0</v>
      </c>
      <c r="BX18" s="279">
        <f t="shared" si="40"/>
        <v>-2</v>
      </c>
      <c r="BY18" s="279">
        <f t="shared" si="41"/>
        <v>-2</v>
      </c>
      <c r="BZ18" s="279">
        <f t="shared" si="42"/>
        <v>-1</v>
      </c>
      <c r="CA18" s="279">
        <f t="shared" si="43"/>
        <v>-6</v>
      </c>
      <c r="CB18" s="279">
        <f t="shared" si="44"/>
        <v>25</v>
      </c>
      <c r="CC18" s="279">
        <f t="shared" si="45"/>
        <v>15</v>
      </c>
      <c r="CD18" s="279">
        <f t="shared" si="46"/>
        <v>18</v>
      </c>
      <c r="CE18" s="279" t="str">
        <f t="shared" si="47"/>
        <v>Now</v>
      </c>
      <c r="CF18" s="294" t="str">
        <f t="shared" si="48"/>
        <v/>
      </c>
      <c r="CG18" s="294" t="str">
        <f t="shared" si="49"/>
        <v>X</v>
      </c>
      <c r="CH18" s="294" t="str">
        <f t="shared" si="50"/>
        <v/>
      </c>
      <c r="CI18" s="294" t="str">
        <f t="shared" si="51"/>
        <v/>
      </c>
      <c r="CJ18" s="294" t="str">
        <f t="shared" si="52"/>
        <v/>
      </c>
      <c r="CK18" s="294" t="str">
        <f t="shared" si="53"/>
        <v/>
      </c>
      <c r="CL18" s="294" t="str">
        <f t="shared" si="54"/>
        <v/>
      </c>
      <c r="CM18" s="294" t="str">
        <f t="shared" si="55"/>
        <v/>
      </c>
      <c r="CN18" s="294" t="str">
        <f t="shared" si="56"/>
        <v/>
      </c>
    </row>
    <row r="19" spans="1:92">
      <c r="A19" s="277" t="str">
        <f>IF(ISERROR(VLOOKUP(G19,CON!$C$3:$C$24,1,FALSE)),IF(ISERROR(VLOOKUP(G19,'PSP-AAA'!$C$6:$C$33,1,FALSE)),IF(ISERROR(VLOOKUP(G19,'NH-AA'!$C$6:$C$33,1,FALSE)),IF(ISERROR(VLOOKUP(G19,'CRG-A'!$C$6:$C$33,1,FALSE)),IF(ISERROR(VLOOKUP(G19,'PC-S A'!$C$6:$C$33,1,FALSE)),"","S A"),"A"),"AA"),"AAA"),"ML")</f>
        <v>ML</v>
      </c>
      <c r="B19" s="278"/>
      <c r="C19" s="279">
        <f t="shared" si="4"/>
        <v>1</v>
      </c>
      <c r="D19" s="279">
        <f t="shared" si="5"/>
        <v>1</v>
      </c>
      <c r="E19" s="279" t="str">
        <f t="shared" si="6"/>
        <v>K</v>
      </c>
      <c r="F19" s="279" t="s">
        <v>100</v>
      </c>
      <c r="G19" s="279" t="s">
        <v>381</v>
      </c>
      <c r="H19" s="279" t="s">
        <v>25</v>
      </c>
      <c r="I19" s="279" t="s">
        <v>207</v>
      </c>
      <c r="J19" s="279">
        <v>25</v>
      </c>
      <c r="K19" s="279" t="s">
        <v>103</v>
      </c>
      <c r="L19" s="279" t="s">
        <v>104</v>
      </c>
      <c r="M19" s="279" t="s">
        <v>44</v>
      </c>
      <c r="N19" s="280" t="s">
        <v>44</v>
      </c>
      <c r="O19" s="279" t="s">
        <v>223</v>
      </c>
      <c r="P19" s="280" t="s">
        <v>226</v>
      </c>
      <c r="Q19" s="279">
        <v>10</v>
      </c>
      <c r="R19" s="279">
        <v>7</v>
      </c>
      <c r="S19" s="279">
        <v>4</v>
      </c>
      <c r="T19" s="279">
        <v>6</v>
      </c>
      <c r="U19" s="280">
        <v>8</v>
      </c>
      <c r="V19" s="279">
        <v>10</v>
      </c>
      <c r="W19" s="279">
        <v>7</v>
      </c>
      <c r="X19" s="279">
        <v>5</v>
      </c>
      <c r="Y19" s="279">
        <v>7</v>
      </c>
      <c r="Z19" s="280">
        <v>8</v>
      </c>
      <c r="AA19" s="279">
        <v>1</v>
      </c>
      <c r="AB19" s="279">
        <v>10</v>
      </c>
      <c r="AC19" s="279">
        <v>1</v>
      </c>
      <c r="AD19" s="279" t="s">
        <v>41</v>
      </c>
      <c r="AE19" s="279" t="s">
        <v>41</v>
      </c>
      <c r="AF19" s="279" t="s">
        <v>41</v>
      </c>
      <c r="AG19" s="279" t="s">
        <v>41</v>
      </c>
      <c r="AH19" s="279" t="s">
        <v>41</v>
      </c>
      <c r="AI19" s="279">
        <v>7</v>
      </c>
      <c r="AJ19" s="279">
        <v>9</v>
      </c>
      <c r="AK19" s="280">
        <v>10</v>
      </c>
      <c r="AL19" s="279">
        <v>7</v>
      </c>
      <c r="AM19" s="279">
        <v>9</v>
      </c>
      <c r="AN19" s="280">
        <v>8</v>
      </c>
      <c r="AO19" s="281">
        <v>500000</v>
      </c>
      <c r="AP19" s="280" t="s">
        <v>45</v>
      </c>
      <c r="AQ19" s="282">
        <f t="shared" si="7"/>
        <v>7.166666666666667</v>
      </c>
      <c r="AR19" s="283" t="str">
        <f t="shared" si="8"/>
        <v>GoodReg</v>
      </c>
      <c r="AS19" s="282">
        <f t="shared" si="9"/>
        <v>7.833333333333333</v>
      </c>
      <c r="AT19" s="282" t="str">
        <f t="shared" si="10"/>
        <v>GoodReg</v>
      </c>
      <c r="AU19" s="283">
        <f t="shared" si="11"/>
        <v>7.166666666666667</v>
      </c>
      <c r="AV19" s="283" t="str">
        <f t="shared" si="12"/>
        <v>GoodReg</v>
      </c>
      <c r="AW19" s="284">
        <f t="shared" si="13"/>
        <v>1</v>
      </c>
      <c r="AX19" s="285">
        <f t="shared" si="14"/>
        <v>1</v>
      </c>
      <c r="AY19" s="285">
        <f t="shared" si="15"/>
        <v>0</v>
      </c>
      <c r="AZ19" s="285">
        <f t="shared" si="16"/>
        <v>0</v>
      </c>
      <c r="BA19" s="285">
        <f t="shared" si="17"/>
        <v>0</v>
      </c>
      <c r="BB19" s="285">
        <f t="shared" si="18"/>
        <v>1</v>
      </c>
      <c r="BC19" s="285">
        <f t="shared" si="19"/>
        <v>1</v>
      </c>
      <c r="BD19" s="285">
        <f t="shared" si="20"/>
        <v>1</v>
      </c>
      <c r="BE19" s="280">
        <f t="shared" si="21"/>
        <v>1</v>
      </c>
      <c r="BF19" s="284">
        <f t="shared" si="22"/>
        <v>1</v>
      </c>
      <c r="BG19" s="285">
        <f t="shared" si="23"/>
        <v>1</v>
      </c>
      <c r="BH19" s="285">
        <f t="shared" si="24"/>
        <v>0</v>
      </c>
      <c r="BI19" s="285">
        <f t="shared" si="25"/>
        <v>0</v>
      </c>
      <c r="BJ19" s="285">
        <f t="shared" si="26"/>
        <v>0</v>
      </c>
      <c r="BK19" s="285">
        <f t="shared" si="27"/>
        <v>1</v>
      </c>
      <c r="BL19" s="285">
        <f t="shared" si="28"/>
        <v>1</v>
      </c>
      <c r="BM19" s="285">
        <f t="shared" si="29"/>
        <v>1</v>
      </c>
      <c r="BN19" s="280">
        <f t="shared" si="30"/>
        <v>1</v>
      </c>
      <c r="BO19" s="280">
        <f t="shared" si="31"/>
        <v>3</v>
      </c>
      <c r="BP19" s="286">
        <f t="shared" si="32"/>
        <v>2</v>
      </c>
      <c r="BQ19" s="279" t="str">
        <f t="shared" si="33"/>
        <v/>
      </c>
      <c r="BR19" s="278" t="str">
        <f t="shared" si="34"/>
        <v>There</v>
      </c>
      <c r="BS19" s="279" t="str">
        <f t="shared" si="35"/>
        <v>Start</v>
      </c>
      <c r="BT19" s="279" t="str">
        <f t="shared" si="36"/>
        <v>Start</v>
      </c>
      <c r="BU19" s="279" t="str">
        <f t="shared" si="37"/>
        <v>ML</v>
      </c>
      <c r="BV19" s="279">
        <f t="shared" si="38"/>
        <v>0</v>
      </c>
      <c r="BW19" s="279">
        <f t="shared" si="39"/>
        <v>0</v>
      </c>
      <c r="BX19" s="279">
        <f t="shared" si="40"/>
        <v>-1</v>
      </c>
      <c r="BY19" s="279">
        <f t="shared" si="41"/>
        <v>-1</v>
      </c>
      <c r="BZ19" s="279">
        <f t="shared" si="42"/>
        <v>0</v>
      </c>
      <c r="CA19" s="279">
        <f t="shared" si="43"/>
        <v>-2</v>
      </c>
      <c r="CB19" s="279">
        <f t="shared" si="44"/>
        <v>22</v>
      </c>
      <c r="CC19" s="279">
        <f t="shared" si="45"/>
        <v>15</v>
      </c>
      <c r="CD19" s="279">
        <f t="shared" si="46"/>
        <v>17</v>
      </c>
      <c r="CE19" s="279" t="str">
        <f t="shared" si="47"/>
        <v>Now - Age</v>
      </c>
      <c r="CF19" s="294" t="str">
        <f t="shared" si="48"/>
        <v/>
      </c>
      <c r="CG19" s="294" t="str">
        <f t="shared" si="49"/>
        <v/>
      </c>
      <c r="CH19" s="294" t="str">
        <f t="shared" si="50"/>
        <v/>
      </c>
      <c r="CI19" s="294" t="str">
        <f t="shared" si="51"/>
        <v/>
      </c>
      <c r="CJ19" s="294" t="str">
        <f>IF(AND(AH19&lt;&gt;"-",AH19&gt;6,AA19&gt;5),"X","")</f>
        <v/>
      </c>
      <c r="CK19" s="294" t="str">
        <f t="shared" si="53"/>
        <v>X</v>
      </c>
      <c r="CL19" s="294" t="str">
        <f t="shared" si="54"/>
        <v>X</v>
      </c>
      <c r="CM19" s="294" t="str">
        <f t="shared" si="55"/>
        <v>X</v>
      </c>
      <c r="CN19" s="294" t="str">
        <f t="shared" si="56"/>
        <v/>
      </c>
    </row>
    <row r="20" spans="1:92">
      <c r="A20" s="277" t="str">
        <f>IF(ISERROR(VLOOKUP(G20,CON!$C$3:$C$24,1,FALSE)),IF(ISERROR(VLOOKUP(G20,'PSP-AAA'!$C$6:$C$33,1,FALSE)),IF(ISERROR(VLOOKUP(G20,'NH-AA'!$C$6:$C$33,1,FALSE)),IF(ISERROR(VLOOKUP(G20,'CRG-A'!$C$6:$C$33,1,FALSE)),IF(ISERROR(VLOOKUP(G20,'PC-S A'!$C$6:$C$33,1,FALSE)),"","S A"),"A"),"AA"),"AAA"),"ML")</f>
        <v>ML</v>
      </c>
      <c r="B20" s="278"/>
      <c r="C20" s="279">
        <f t="shared" si="4"/>
        <v>2</v>
      </c>
      <c r="D20" s="279">
        <f t="shared" si="5"/>
        <v>2</v>
      </c>
      <c r="E20" s="279" t="str">
        <f t="shared" si="6"/>
        <v>K</v>
      </c>
      <c r="F20" s="279" t="s">
        <v>92</v>
      </c>
      <c r="G20" s="279" t="s">
        <v>490</v>
      </c>
      <c r="H20" s="279" t="s">
        <v>25</v>
      </c>
      <c r="I20" s="279" t="s">
        <v>207</v>
      </c>
      <c r="J20" s="279">
        <v>27</v>
      </c>
      <c r="K20" s="279" t="s">
        <v>104</v>
      </c>
      <c r="L20" s="279" t="s">
        <v>104</v>
      </c>
      <c r="M20" s="279" t="s">
        <v>47</v>
      </c>
      <c r="N20" s="280" t="s">
        <v>42</v>
      </c>
      <c r="O20" s="279" t="s">
        <v>223</v>
      </c>
      <c r="P20" s="280" t="s">
        <v>225</v>
      </c>
      <c r="Q20" s="279">
        <v>6</v>
      </c>
      <c r="R20" s="279">
        <v>6</v>
      </c>
      <c r="S20" s="279">
        <v>6</v>
      </c>
      <c r="T20" s="279">
        <v>7</v>
      </c>
      <c r="U20" s="280">
        <v>6</v>
      </c>
      <c r="V20" s="279">
        <v>7</v>
      </c>
      <c r="W20" s="279">
        <v>6</v>
      </c>
      <c r="X20" s="279">
        <v>6</v>
      </c>
      <c r="Y20" s="279">
        <v>7</v>
      </c>
      <c r="Z20" s="280">
        <v>6</v>
      </c>
      <c r="AA20" s="279">
        <v>4</v>
      </c>
      <c r="AB20" s="279">
        <v>5</v>
      </c>
      <c r="AC20" s="279">
        <v>7</v>
      </c>
      <c r="AD20" s="279">
        <v>8</v>
      </c>
      <c r="AE20" s="279" t="s">
        <v>41</v>
      </c>
      <c r="AF20" s="279" t="s">
        <v>41</v>
      </c>
      <c r="AG20" s="279" t="s">
        <v>41</v>
      </c>
      <c r="AH20" s="279" t="s">
        <v>41</v>
      </c>
      <c r="AI20" s="279">
        <v>1</v>
      </c>
      <c r="AJ20" s="279" t="s">
        <v>41</v>
      </c>
      <c r="AK20" s="280" t="s">
        <v>41</v>
      </c>
      <c r="AL20" s="279">
        <v>1</v>
      </c>
      <c r="AM20" s="279">
        <v>1</v>
      </c>
      <c r="AN20" s="280">
        <v>2</v>
      </c>
      <c r="AO20" s="281">
        <v>500000</v>
      </c>
      <c r="AP20" s="280" t="s">
        <v>45</v>
      </c>
      <c r="AQ20" s="282">
        <f t="shared" si="7"/>
        <v>6.833333333333333</v>
      </c>
      <c r="AR20" s="283" t="str">
        <f t="shared" si="8"/>
        <v>GoodReg</v>
      </c>
      <c r="AS20" s="282">
        <f t="shared" si="9"/>
        <v>7.166666666666667</v>
      </c>
      <c r="AT20" s="282" t="str">
        <f t="shared" si="10"/>
        <v>GoodReg</v>
      </c>
      <c r="AU20" s="283">
        <f t="shared" si="11"/>
        <v>6.833333333333333</v>
      </c>
      <c r="AV20" s="283" t="str">
        <f t="shared" si="12"/>
        <v>GoodReg</v>
      </c>
      <c r="AW20" s="284">
        <f t="shared" si="13"/>
        <v>0</v>
      </c>
      <c r="AX20" s="285">
        <f t="shared" si="14"/>
        <v>1</v>
      </c>
      <c r="AY20" s="285">
        <f t="shared" si="15"/>
        <v>0</v>
      </c>
      <c r="AZ20" s="285">
        <f t="shared" si="16"/>
        <v>0</v>
      </c>
      <c r="BA20" s="285">
        <f t="shared" si="17"/>
        <v>0</v>
      </c>
      <c r="BB20" s="285">
        <f t="shared" si="18"/>
        <v>0</v>
      </c>
      <c r="BC20" s="285">
        <f t="shared" si="19"/>
        <v>1</v>
      </c>
      <c r="BD20" s="285">
        <f t="shared" si="20"/>
        <v>1</v>
      </c>
      <c r="BE20" s="280">
        <f t="shared" si="21"/>
        <v>1</v>
      </c>
      <c r="BF20" s="284">
        <f t="shared" si="22"/>
        <v>0</v>
      </c>
      <c r="BG20" s="285">
        <f t="shared" si="23"/>
        <v>1</v>
      </c>
      <c r="BH20" s="285">
        <f t="shared" si="24"/>
        <v>0</v>
      </c>
      <c r="BI20" s="285">
        <f t="shared" si="25"/>
        <v>0</v>
      </c>
      <c r="BJ20" s="285">
        <f t="shared" si="26"/>
        <v>0</v>
      </c>
      <c r="BK20" s="285">
        <f t="shared" si="27"/>
        <v>1</v>
      </c>
      <c r="BL20" s="285">
        <f t="shared" si="28"/>
        <v>1</v>
      </c>
      <c r="BM20" s="285">
        <f t="shared" si="29"/>
        <v>1</v>
      </c>
      <c r="BN20" s="280">
        <f t="shared" si="30"/>
        <v>1</v>
      </c>
      <c r="BO20" s="280">
        <f t="shared" si="31"/>
        <v>0</v>
      </c>
      <c r="BP20" s="286">
        <f t="shared" si="32"/>
        <v>2</v>
      </c>
      <c r="BQ20" s="279" t="str">
        <f t="shared" si="33"/>
        <v/>
      </c>
      <c r="BR20" s="278" t="str">
        <f t="shared" si="34"/>
        <v>There</v>
      </c>
      <c r="BS20" s="279" t="str">
        <f t="shared" si="35"/>
        <v>Start</v>
      </c>
      <c r="BT20" s="279" t="str">
        <f t="shared" si="36"/>
        <v>Start</v>
      </c>
      <c r="BU20" s="279" t="str">
        <f t="shared" si="37"/>
        <v>ML</v>
      </c>
      <c r="BV20" s="279">
        <f t="shared" si="38"/>
        <v>-1</v>
      </c>
      <c r="BW20" s="279">
        <f t="shared" si="39"/>
        <v>0</v>
      </c>
      <c r="BX20" s="279">
        <f t="shared" si="40"/>
        <v>0</v>
      </c>
      <c r="BY20" s="279">
        <f t="shared" si="41"/>
        <v>0</v>
      </c>
      <c r="BZ20" s="279">
        <f t="shared" si="42"/>
        <v>0</v>
      </c>
      <c r="CA20" s="279">
        <f t="shared" si="43"/>
        <v>-1</v>
      </c>
      <c r="CB20" s="279">
        <f t="shared" si="44"/>
        <v>20</v>
      </c>
      <c r="CC20" s="279">
        <f t="shared" si="45"/>
        <v>13</v>
      </c>
      <c r="CD20" s="279">
        <f t="shared" si="46"/>
        <v>14</v>
      </c>
      <c r="CE20" s="279" t="str">
        <f t="shared" si="47"/>
        <v>Now - Age</v>
      </c>
      <c r="CF20" s="294" t="str">
        <f t="shared" si="48"/>
        <v>X</v>
      </c>
      <c r="CG20" s="294" t="str">
        <f t="shared" si="49"/>
        <v/>
      </c>
      <c r="CH20" s="294" t="str">
        <f t="shared" si="50"/>
        <v/>
      </c>
      <c r="CI20" s="294" t="str">
        <f t="shared" si="51"/>
        <v/>
      </c>
      <c r="CJ20" s="294" t="str">
        <f t="shared" ref="CJ20:CJ51" si="57">IF(AND(AH20&lt;&gt;"-",AH20&gt;5,AA20&gt;5),"X","")</f>
        <v/>
      </c>
      <c r="CK20" s="294" t="str">
        <f t="shared" si="53"/>
        <v/>
      </c>
      <c r="CL20" s="294" t="str">
        <f t="shared" si="54"/>
        <v/>
      </c>
      <c r="CM20" s="294" t="str">
        <f t="shared" si="55"/>
        <v/>
      </c>
      <c r="CN20" s="294" t="str">
        <f t="shared" si="56"/>
        <v/>
      </c>
    </row>
    <row r="21" spans="1:92">
      <c r="A21" s="277" t="str">
        <f>IF(ISERROR(VLOOKUP(G21,CON!$C$3:$C$24,1,FALSE)),IF(ISERROR(VLOOKUP(G21,'PSP-AAA'!$C$6:$C$33,1,FALSE)),IF(ISERROR(VLOOKUP(G21,'NH-AA'!$C$6:$C$33,1,FALSE)),IF(ISERROR(VLOOKUP(G21,'CRG-A'!$C$6:$C$33,1,FALSE)),IF(ISERROR(VLOOKUP(G21,'PC-S A'!$C$6:$C$33,1,FALSE)),"","S A"),"A"),"AA"),"AAA"),"ML")</f>
        <v>ML</v>
      </c>
      <c r="B21" s="278"/>
      <c r="C21" s="279">
        <f t="shared" si="4"/>
        <v>2</v>
      </c>
      <c r="D21" s="279">
        <f t="shared" si="5"/>
        <v>2</v>
      </c>
      <c r="E21" s="279" t="str">
        <f t="shared" si="6"/>
        <v>K</v>
      </c>
      <c r="F21" s="279" t="s">
        <v>100</v>
      </c>
      <c r="G21" s="279" t="s">
        <v>442</v>
      </c>
      <c r="H21" s="279" t="s">
        <v>25</v>
      </c>
      <c r="I21" s="279" t="s">
        <v>207</v>
      </c>
      <c r="J21" s="279">
        <v>25</v>
      </c>
      <c r="K21" s="279" t="s">
        <v>104</v>
      </c>
      <c r="L21" s="279" t="s">
        <v>103</v>
      </c>
      <c r="M21" s="279" t="s">
        <v>47</v>
      </c>
      <c r="N21" s="280" t="s">
        <v>42</v>
      </c>
      <c r="O21" s="279" t="s">
        <v>225</v>
      </c>
      <c r="P21" s="280" t="s">
        <v>224</v>
      </c>
      <c r="Q21" s="279">
        <v>7</v>
      </c>
      <c r="R21" s="279">
        <v>6</v>
      </c>
      <c r="S21" s="279">
        <v>6</v>
      </c>
      <c r="T21" s="279">
        <v>6</v>
      </c>
      <c r="U21" s="280">
        <v>8</v>
      </c>
      <c r="V21" s="279">
        <v>7</v>
      </c>
      <c r="W21" s="279">
        <v>7</v>
      </c>
      <c r="X21" s="279">
        <v>6</v>
      </c>
      <c r="Y21" s="279">
        <v>6</v>
      </c>
      <c r="Z21" s="280">
        <v>8</v>
      </c>
      <c r="AA21" s="279">
        <v>1</v>
      </c>
      <c r="AB21" s="279">
        <v>5</v>
      </c>
      <c r="AC21" s="279">
        <v>1</v>
      </c>
      <c r="AD21" s="279" t="s">
        <v>41</v>
      </c>
      <c r="AE21" s="279" t="s">
        <v>41</v>
      </c>
      <c r="AF21" s="279" t="s">
        <v>41</v>
      </c>
      <c r="AG21" s="279" t="s">
        <v>41</v>
      </c>
      <c r="AH21" s="279" t="s">
        <v>41</v>
      </c>
      <c r="AI21" s="279">
        <v>2</v>
      </c>
      <c r="AJ21" s="279">
        <v>2</v>
      </c>
      <c r="AK21" s="280">
        <v>6</v>
      </c>
      <c r="AL21" s="279">
        <v>3</v>
      </c>
      <c r="AM21" s="279">
        <v>5</v>
      </c>
      <c r="AN21" s="280">
        <v>6</v>
      </c>
      <c r="AO21" s="281">
        <v>500000</v>
      </c>
      <c r="AP21" s="280" t="s">
        <v>45</v>
      </c>
      <c r="AQ21" s="282">
        <f t="shared" si="7"/>
        <v>6.833333333333333</v>
      </c>
      <c r="AR21" s="283" t="str">
        <f t="shared" si="8"/>
        <v>GoodReg</v>
      </c>
      <c r="AS21" s="282">
        <f t="shared" si="9"/>
        <v>6.833333333333333</v>
      </c>
      <c r="AT21" s="282" t="str">
        <f t="shared" si="10"/>
        <v>GoodReg</v>
      </c>
      <c r="AU21" s="283">
        <f t="shared" si="11"/>
        <v>6.833333333333333</v>
      </c>
      <c r="AV21" s="283" t="str">
        <f t="shared" si="12"/>
        <v>GoodReg</v>
      </c>
      <c r="AW21" s="284">
        <f t="shared" si="13"/>
        <v>0</v>
      </c>
      <c r="AX21" s="285">
        <f t="shared" si="14"/>
        <v>1</v>
      </c>
      <c r="AY21" s="285">
        <f t="shared" si="15"/>
        <v>0</v>
      </c>
      <c r="AZ21" s="285">
        <f t="shared" si="16"/>
        <v>0</v>
      </c>
      <c r="BA21" s="285">
        <f t="shared" si="17"/>
        <v>0</v>
      </c>
      <c r="BB21" s="285">
        <f t="shared" si="18"/>
        <v>1</v>
      </c>
      <c r="BC21" s="285">
        <f t="shared" si="19"/>
        <v>1</v>
      </c>
      <c r="BD21" s="285">
        <f t="shared" si="20"/>
        <v>1</v>
      </c>
      <c r="BE21" s="280">
        <f t="shared" si="21"/>
        <v>1</v>
      </c>
      <c r="BF21" s="284">
        <f t="shared" si="22"/>
        <v>0</v>
      </c>
      <c r="BG21" s="285">
        <f t="shared" si="23"/>
        <v>1</v>
      </c>
      <c r="BH21" s="285">
        <f t="shared" si="24"/>
        <v>0</v>
      </c>
      <c r="BI21" s="285">
        <f t="shared" si="25"/>
        <v>0</v>
      </c>
      <c r="BJ21" s="285">
        <f t="shared" si="26"/>
        <v>0</v>
      </c>
      <c r="BK21" s="285">
        <f t="shared" si="27"/>
        <v>1</v>
      </c>
      <c r="BL21" s="285">
        <f t="shared" si="28"/>
        <v>1</v>
      </c>
      <c r="BM21" s="285">
        <f t="shared" si="29"/>
        <v>1</v>
      </c>
      <c r="BN21" s="280">
        <f t="shared" si="30"/>
        <v>1</v>
      </c>
      <c r="BO21" s="280">
        <f t="shared" si="31"/>
        <v>0</v>
      </c>
      <c r="BP21" s="286">
        <f t="shared" si="32"/>
        <v>1</v>
      </c>
      <c r="BQ21" s="279" t="str">
        <f t="shared" si="33"/>
        <v/>
      </c>
      <c r="BR21" s="278" t="str">
        <f t="shared" si="34"/>
        <v>There</v>
      </c>
      <c r="BS21" s="279" t="str">
        <f t="shared" si="35"/>
        <v>Start</v>
      </c>
      <c r="BT21" s="279" t="str">
        <f t="shared" si="36"/>
        <v>Start</v>
      </c>
      <c r="BU21" s="279" t="str">
        <f t="shared" si="37"/>
        <v>ML</v>
      </c>
      <c r="BV21" s="279">
        <f t="shared" si="38"/>
        <v>0</v>
      </c>
      <c r="BW21" s="279">
        <f t="shared" si="39"/>
        <v>-1</v>
      </c>
      <c r="BX21" s="279">
        <f t="shared" si="40"/>
        <v>0</v>
      </c>
      <c r="BY21" s="279">
        <f t="shared" si="41"/>
        <v>0</v>
      </c>
      <c r="BZ21" s="279">
        <f t="shared" si="42"/>
        <v>0</v>
      </c>
      <c r="CA21" s="279">
        <f t="shared" si="43"/>
        <v>-1</v>
      </c>
      <c r="CB21" s="279">
        <f t="shared" si="44"/>
        <v>19</v>
      </c>
      <c r="CC21" s="279">
        <f t="shared" si="45"/>
        <v>13</v>
      </c>
      <c r="CD21" s="279">
        <f t="shared" si="46"/>
        <v>13</v>
      </c>
      <c r="CE21" s="279" t="str">
        <f t="shared" si="47"/>
        <v>Now - Age</v>
      </c>
      <c r="CF21" s="294" t="str">
        <f t="shared" si="48"/>
        <v/>
      </c>
      <c r="CG21" s="294" t="str">
        <f t="shared" si="49"/>
        <v/>
      </c>
      <c r="CH21" s="294" t="str">
        <f t="shared" si="50"/>
        <v/>
      </c>
      <c r="CI21" s="294" t="str">
        <f t="shared" si="51"/>
        <v/>
      </c>
      <c r="CJ21" s="294" t="str">
        <f t="shared" si="57"/>
        <v/>
      </c>
      <c r="CK21" s="294" t="str">
        <f t="shared" si="53"/>
        <v/>
      </c>
      <c r="CL21" s="294" t="str">
        <f t="shared" si="54"/>
        <v/>
      </c>
      <c r="CM21" s="294" t="str">
        <f t="shared" si="55"/>
        <v/>
      </c>
      <c r="CN21" s="294" t="str">
        <f t="shared" si="56"/>
        <v>X</v>
      </c>
    </row>
    <row r="22" spans="1:92">
      <c r="A22" s="277" t="str">
        <f>IF(ISERROR(VLOOKUP(G22,CON!$C$3:$C$24,1,FALSE)),IF(ISERROR(VLOOKUP(G22,'PSP-AAA'!$C$6:$C$33,1,FALSE)),IF(ISERROR(VLOOKUP(G22,'NH-AA'!$C$6:$C$33,1,FALSE)),IF(ISERROR(VLOOKUP(G22,'CRG-A'!$C$6:$C$33,1,FALSE)),IF(ISERROR(VLOOKUP(G22,'PC-S A'!$C$6:$C$33,1,FALSE)),"","S A"),"A"),"AA"),"AAA"),"ML")</f>
        <v>ML</v>
      </c>
      <c r="B22" s="278"/>
      <c r="C22" s="279">
        <f t="shared" si="4"/>
        <v>2</v>
      </c>
      <c r="D22" s="279">
        <f t="shared" si="5"/>
        <v>2</v>
      </c>
      <c r="E22" s="279" t="str">
        <f t="shared" si="6"/>
        <v>K</v>
      </c>
      <c r="F22" s="279" t="s">
        <v>95</v>
      </c>
      <c r="G22" s="279" t="s">
        <v>51</v>
      </c>
      <c r="H22" s="279" t="s">
        <v>25</v>
      </c>
      <c r="I22" s="279" t="s">
        <v>207</v>
      </c>
      <c r="J22" s="279">
        <v>29</v>
      </c>
      <c r="K22" s="279" t="s">
        <v>104</v>
      </c>
      <c r="L22" s="279" t="s">
        <v>104</v>
      </c>
      <c r="M22" s="279" t="s">
        <v>42</v>
      </c>
      <c r="N22" s="280" t="s">
        <v>42</v>
      </c>
      <c r="O22" s="279" t="s">
        <v>224</v>
      </c>
      <c r="P22" s="280" t="s">
        <v>225</v>
      </c>
      <c r="Q22" s="279">
        <v>7</v>
      </c>
      <c r="R22" s="279">
        <v>6</v>
      </c>
      <c r="S22" s="279">
        <v>5</v>
      </c>
      <c r="T22" s="279">
        <v>7</v>
      </c>
      <c r="U22" s="280">
        <v>8</v>
      </c>
      <c r="V22" s="279">
        <v>7</v>
      </c>
      <c r="W22" s="279">
        <v>6</v>
      </c>
      <c r="X22" s="279">
        <v>5</v>
      </c>
      <c r="Y22" s="279">
        <v>7</v>
      </c>
      <c r="Z22" s="280">
        <v>8</v>
      </c>
      <c r="AA22" s="279">
        <v>5</v>
      </c>
      <c r="AB22" s="279">
        <v>3</v>
      </c>
      <c r="AC22" s="279">
        <v>1</v>
      </c>
      <c r="AD22" s="279" t="s">
        <v>41</v>
      </c>
      <c r="AE22" s="279">
        <v>8</v>
      </c>
      <c r="AF22" s="279">
        <v>7</v>
      </c>
      <c r="AG22" s="279">
        <v>4</v>
      </c>
      <c r="AH22" s="279">
        <v>2</v>
      </c>
      <c r="AI22" s="279" t="s">
        <v>41</v>
      </c>
      <c r="AJ22" s="279" t="s">
        <v>41</v>
      </c>
      <c r="AK22" s="280" t="s">
        <v>41</v>
      </c>
      <c r="AL22" s="279">
        <v>3</v>
      </c>
      <c r="AM22" s="279">
        <v>4</v>
      </c>
      <c r="AN22" s="280">
        <v>3</v>
      </c>
      <c r="AO22" s="281">
        <v>500000</v>
      </c>
      <c r="AP22" s="280" t="s">
        <v>45</v>
      </c>
      <c r="AQ22" s="282">
        <f t="shared" si="7"/>
        <v>6.833333333333333</v>
      </c>
      <c r="AR22" s="283" t="str">
        <f t="shared" si="8"/>
        <v>GoodReg</v>
      </c>
      <c r="AS22" s="282">
        <f t="shared" si="9"/>
        <v>6.833333333333333</v>
      </c>
      <c r="AT22" s="282" t="str">
        <f t="shared" si="10"/>
        <v>GoodReg</v>
      </c>
      <c r="AU22" s="283">
        <f t="shared" si="11"/>
        <v>6.833333333333333</v>
      </c>
      <c r="AV22" s="283" t="str">
        <f t="shared" si="12"/>
        <v>GoodReg</v>
      </c>
      <c r="AW22" s="284">
        <f t="shared" si="13"/>
        <v>0</v>
      </c>
      <c r="AX22" s="285">
        <f t="shared" si="14"/>
        <v>1</v>
      </c>
      <c r="AY22" s="285">
        <f t="shared" si="15"/>
        <v>0</v>
      </c>
      <c r="AZ22" s="285">
        <f t="shared" si="16"/>
        <v>0</v>
      </c>
      <c r="BA22" s="285">
        <f t="shared" si="17"/>
        <v>0</v>
      </c>
      <c r="BB22" s="285">
        <f t="shared" si="18"/>
        <v>1</v>
      </c>
      <c r="BC22" s="285">
        <f t="shared" si="19"/>
        <v>1</v>
      </c>
      <c r="BD22" s="285">
        <f t="shared" si="20"/>
        <v>1</v>
      </c>
      <c r="BE22" s="280">
        <f t="shared" si="21"/>
        <v>1</v>
      </c>
      <c r="BF22" s="284">
        <f t="shared" si="22"/>
        <v>0</v>
      </c>
      <c r="BG22" s="285">
        <f t="shared" si="23"/>
        <v>1</v>
      </c>
      <c r="BH22" s="285">
        <f t="shared" si="24"/>
        <v>0</v>
      </c>
      <c r="BI22" s="285">
        <f t="shared" si="25"/>
        <v>0</v>
      </c>
      <c r="BJ22" s="285">
        <f t="shared" si="26"/>
        <v>0</v>
      </c>
      <c r="BK22" s="285">
        <f t="shared" si="27"/>
        <v>1</v>
      </c>
      <c r="BL22" s="285">
        <f t="shared" si="28"/>
        <v>1</v>
      </c>
      <c r="BM22" s="285">
        <f t="shared" si="29"/>
        <v>1</v>
      </c>
      <c r="BN22" s="280">
        <f t="shared" si="30"/>
        <v>1</v>
      </c>
      <c r="BO22" s="280">
        <f t="shared" si="31"/>
        <v>0</v>
      </c>
      <c r="BP22" s="286">
        <f t="shared" si="32"/>
        <v>2</v>
      </c>
      <c r="BQ22" s="279" t="str">
        <f t="shared" si="33"/>
        <v/>
      </c>
      <c r="BR22" s="278" t="str">
        <f t="shared" si="34"/>
        <v>There</v>
      </c>
      <c r="BS22" s="279" t="str">
        <f t="shared" si="35"/>
        <v>Start</v>
      </c>
      <c r="BT22" s="279" t="str">
        <f t="shared" si="36"/>
        <v>Start</v>
      </c>
      <c r="BU22" s="279" t="str">
        <f t="shared" si="37"/>
        <v>ML</v>
      </c>
      <c r="BV22" s="279">
        <f t="shared" si="38"/>
        <v>0</v>
      </c>
      <c r="BW22" s="279">
        <f t="shared" si="39"/>
        <v>0</v>
      </c>
      <c r="BX22" s="279">
        <f t="shared" si="40"/>
        <v>0</v>
      </c>
      <c r="BY22" s="279">
        <f t="shared" si="41"/>
        <v>0</v>
      </c>
      <c r="BZ22" s="279">
        <f t="shared" si="42"/>
        <v>0</v>
      </c>
      <c r="CA22" s="279">
        <f t="shared" si="43"/>
        <v>0</v>
      </c>
      <c r="CB22" s="279">
        <f t="shared" si="44"/>
        <v>19</v>
      </c>
      <c r="CC22" s="279">
        <f t="shared" si="45"/>
        <v>12</v>
      </c>
      <c r="CD22" s="279">
        <f t="shared" si="46"/>
        <v>14</v>
      </c>
      <c r="CE22" s="279" t="str">
        <f t="shared" si="47"/>
        <v>Now - Age</v>
      </c>
      <c r="CF22" s="294" t="str">
        <f t="shared" si="48"/>
        <v/>
      </c>
      <c r="CG22" s="294" t="str">
        <f t="shared" si="49"/>
        <v>X</v>
      </c>
      <c r="CH22" s="294" t="str">
        <f t="shared" si="50"/>
        <v>X</v>
      </c>
      <c r="CI22" s="294" t="str">
        <f t="shared" si="51"/>
        <v/>
      </c>
      <c r="CJ22" s="294" t="str">
        <f t="shared" si="57"/>
        <v/>
      </c>
      <c r="CK22" s="294" t="str">
        <f t="shared" si="53"/>
        <v/>
      </c>
      <c r="CL22" s="294" t="str">
        <f t="shared" si="54"/>
        <v/>
      </c>
      <c r="CM22" s="294" t="str">
        <f t="shared" si="55"/>
        <v/>
      </c>
      <c r="CN22" s="294" t="str">
        <f t="shared" si="56"/>
        <v/>
      </c>
    </row>
    <row r="23" spans="1:92">
      <c r="A23" s="277" t="str">
        <f>IF(ISERROR(VLOOKUP(G23,CON!$C$3:$C$24,1,FALSE)),IF(ISERROR(VLOOKUP(G23,'PSP-AAA'!$C$6:$C$33,1,FALSE)),IF(ISERROR(VLOOKUP(G23,'NH-AA'!$C$6:$C$33,1,FALSE)),IF(ISERROR(VLOOKUP(G23,'CRG-A'!$C$6:$C$33,1,FALSE)),IF(ISERROR(VLOOKUP(G23,'PC-S A'!$C$6:$C$33,1,FALSE)),"","S A"),"A"),"AA"),"AAA"),"ML")</f>
        <v>ML</v>
      </c>
      <c r="B23" s="278"/>
      <c r="C23" s="279">
        <f t="shared" si="4"/>
        <v>1</v>
      </c>
      <c r="D23" s="279">
        <f t="shared" si="5"/>
        <v>1</v>
      </c>
      <c r="E23" s="279" t="str">
        <f t="shared" si="6"/>
        <v>T</v>
      </c>
      <c r="F23" s="279" t="s">
        <v>99</v>
      </c>
      <c r="G23" s="279" t="s">
        <v>594</v>
      </c>
      <c r="H23" s="279" t="s">
        <v>25</v>
      </c>
      <c r="I23" s="279" t="s">
        <v>207</v>
      </c>
      <c r="J23" s="279">
        <v>28</v>
      </c>
      <c r="K23" s="279" t="s">
        <v>103</v>
      </c>
      <c r="L23" s="279" t="s">
        <v>103</v>
      </c>
      <c r="M23" s="279" t="s">
        <v>40</v>
      </c>
      <c r="N23" s="280" t="s">
        <v>48</v>
      </c>
      <c r="O23" s="279" t="s">
        <v>225</v>
      </c>
      <c r="P23" s="280" t="s">
        <v>226</v>
      </c>
      <c r="Q23" s="279">
        <v>6</v>
      </c>
      <c r="R23" s="279">
        <v>7</v>
      </c>
      <c r="S23" s="279">
        <v>6</v>
      </c>
      <c r="T23" s="279">
        <v>7</v>
      </c>
      <c r="U23" s="280">
        <v>5</v>
      </c>
      <c r="V23" s="279">
        <v>6</v>
      </c>
      <c r="W23" s="279">
        <v>7</v>
      </c>
      <c r="X23" s="279">
        <v>6</v>
      </c>
      <c r="Y23" s="279">
        <v>7</v>
      </c>
      <c r="Z23" s="280">
        <v>5</v>
      </c>
      <c r="AA23" s="279">
        <v>1</v>
      </c>
      <c r="AB23" s="279">
        <v>9</v>
      </c>
      <c r="AC23" s="279">
        <v>1</v>
      </c>
      <c r="AD23" s="279" t="s">
        <v>41</v>
      </c>
      <c r="AE23" s="279" t="s">
        <v>41</v>
      </c>
      <c r="AF23" s="279" t="s">
        <v>41</v>
      </c>
      <c r="AG23" s="279" t="s">
        <v>41</v>
      </c>
      <c r="AH23" s="279" t="s">
        <v>41</v>
      </c>
      <c r="AI23" s="279">
        <v>8</v>
      </c>
      <c r="AJ23" s="279">
        <v>10</v>
      </c>
      <c r="AK23" s="280">
        <v>5</v>
      </c>
      <c r="AL23" s="279">
        <v>10</v>
      </c>
      <c r="AM23" s="279">
        <v>10</v>
      </c>
      <c r="AN23" s="280">
        <v>10</v>
      </c>
      <c r="AO23" s="281" t="s">
        <v>599</v>
      </c>
      <c r="AP23" s="280">
        <v>0</v>
      </c>
      <c r="AQ23" s="282">
        <f t="shared" si="7"/>
        <v>6.833333333333333</v>
      </c>
      <c r="AR23" s="283" t="str">
        <f t="shared" si="8"/>
        <v>GoodReg</v>
      </c>
      <c r="AS23" s="282">
        <f t="shared" si="9"/>
        <v>6.833333333333333</v>
      </c>
      <c r="AT23" s="282" t="str">
        <f t="shared" si="10"/>
        <v>GoodReg</v>
      </c>
      <c r="AU23" s="283">
        <f t="shared" si="11"/>
        <v>6.833333333333333</v>
      </c>
      <c r="AV23" s="283" t="str">
        <f t="shared" si="12"/>
        <v>GoodReg</v>
      </c>
      <c r="AW23" s="284">
        <f t="shared" si="13"/>
        <v>1</v>
      </c>
      <c r="AX23" s="285">
        <f t="shared" si="14"/>
        <v>1</v>
      </c>
      <c r="AY23" s="285">
        <f t="shared" si="15"/>
        <v>0</v>
      </c>
      <c r="AZ23" s="285">
        <f t="shared" si="16"/>
        <v>0</v>
      </c>
      <c r="BA23" s="285">
        <f t="shared" si="17"/>
        <v>0</v>
      </c>
      <c r="BB23" s="285">
        <f t="shared" si="18"/>
        <v>0</v>
      </c>
      <c r="BC23" s="285">
        <f t="shared" si="19"/>
        <v>1</v>
      </c>
      <c r="BD23" s="285">
        <f t="shared" si="20"/>
        <v>1</v>
      </c>
      <c r="BE23" s="280">
        <f t="shared" si="21"/>
        <v>1</v>
      </c>
      <c r="BF23" s="284">
        <f t="shared" si="22"/>
        <v>1</v>
      </c>
      <c r="BG23" s="285">
        <f t="shared" si="23"/>
        <v>1</v>
      </c>
      <c r="BH23" s="285">
        <f t="shared" si="24"/>
        <v>0</v>
      </c>
      <c r="BI23" s="285">
        <f t="shared" si="25"/>
        <v>0</v>
      </c>
      <c r="BJ23" s="285">
        <f t="shared" si="26"/>
        <v>0</v>
      </c>
      <c r="BK23" s="285">
        <f t="shared" si="27"/>
        <v>0</v>
      </c>
      <c r="BL23" s="285">
        <f t="shared" si="28"/>
        <v>1</v>
      </c>
      <c r="BM23" s="285">
        <f t="shared" si="29"/>
        <v>1</v>
      </c>
      <c r="BN23" s="280">
        <f t="shared" si="30"/>
        <v>1</v>
      </c>
      <c r="BO23" s="280">
        <f t="shared" si="31"/>
        <v>6</v>
      </c>
      <c r="BP23" s="286">
        <f t="shared" si="32"/>
        <v>2</v>
      </c>
      <c r="BQ23" s="279" t="str">
        <f t="shared" si="33"/>
        <v/>
      </c>
      <c r="BR23" s="278" t="str">
        <f t="shared" si="34"/>
        <v>There</v>
      </c>
      <c r="BS23" s="279" t="str">
        <f t="shared" si="35"/>
        <v>Start</v>
      </c>
      <c r="BT23" s="279" t="str">
        <f t="shared" si="36"/>
        <v>Start</v>
      </c>
      <c r="BU23" s="279" t="str">
        <f t="shared" si="37"/>
        <v>ML</v>
      </c>
      <c r="BV23" s="279">
        <f t="shared" si="38"/>
        <v>0</v>
      </c>
      <c r="BW23" s="279">
        <f t="shared" si="39"/>
        <v>0</v>
      </c>
      <c r="BX23" s="279">
        <f t="shared" si="40"/>
        <v>0</v>
      </c>
      <c r="BY23" s="279">
        <f t="shared" si="41"/>
        <v>0</v>
      </c>
      <c r="BZ23" s="279">
        <f t="shared" si="42"/>
        <v>0</v>
      </c>
      <c r="CA23" s="279">
        <f t="shared" si="43"/>
        <v>0</v>
      </c>
      <c r="CB23" s="279">
        <f t="shared" si="44"/>
        <v>19</v>
      </c>
      <c r="CC23" s="279">
        <f t="shared" si="45"/>
        <v>12</v>
      </c>
      <c r="CD23" s="279">
        <f t="shared" si="46"/>
        <v>13</v>
      </c>
      <c r="CE23" s="279" t="str">
        <f t="shared" si="47"/>
        <v>Now - Age</v>
      </c>
      <c r="CF23" s="294" t="str">
        <f t="shared" si="48"/>
        <v/>
      </c>
      <c r="CG23" s="294" t="str">
        <f t="shared" si="49"/>
        <v/>
      </c>
      <c r="CH23" s="294" t="str">
        <f t="shared" si="50"/>
        <v/>
      </c>
      <c r="CI23" s="294" t="str">
        <f t="shared" si="51"/>
        <v/>
      </c>
      <c r="CJ23" s="294" t="str">
        <f t="shared" si="57"/>
        <v/>
      </c>
      <c r="CK23" s="294" t="str">
        <f t="shared" si="53"/>
        <v>X</v>
      </c>
      <c r="CL23" s="294" t="str">
        <f t="shared" si="54"/>
        <v>X</v>
      </c>
      <c r="CM23" s="294" t="str">
        <f t="shared" si="55"/>
        <v/>
      </c>
      <c r="CN23" s="294" t="str">
        <f t="shared" si="56"/>
        <v/>
      </c>
    </row>
    <row r="24" spans="1:92">
      <c r="A24" s="277" t="str">
        <f>IF(ISERROR(VLOOKUP(G24,CON!$C$3:$C$24,1,FALSE)),IF(ISERROR(VLOOKUP(G24,'PSP-AAA'!$C$6:$C$33,1,FALSE)),IF(ISERROR(VLOOKUP(G24,'NH-AA'!$C$6:$C$33,1,FALSE)),IF(ISERROR(VLOOKUP(G24,'CRG-A'!$C$6:$C$33,1,FALSE)),IF(ISERROR(VLOOKUP(G24,'PC-S A'!$C$6:$C$33,1,FALSE)),"","S A"),"A"),"AA"),"AAA"),"ML")</f>
        <v>ML</v>
      </c>
      <c r="B24" s="278"/>
      <c r="C24" s="279">
        <f t="shared" si="4"/>
        <v>2</v>
      </c>
      <c r="D24" s="279">
        <f t="shared" si="5"/>
        <v>2</v>
      </c>
      <c r="E24" s="279" t="str">
        <f t="shared" si="6"/>
        <v>T</v>
      </c>
      <c r="F24" s="279" t="s">
        <v>97</v>
      </c>
      <c r="G24" s="279" t="s">
        <v>50</v>
      </c>
      <c r="H24" s="279" t="s">
        <v>25</v>
      </c>
      <c r="I24" s="279" t="s">
        <v>207</v>
      </c>
      <c r="J24" s="279">
        <v>30</v>
      </c>
      <c r="K24" s="279" t="s">
        <v>104</v>
      </c>
      <c r="L24" s="279" t="s">
        <v>104</v>
      </c>
      <c r="M24" s="279" t="s">
        <v>42</v>
      </c>
      <c r="N24" s="280" t="s">
        <v>42</v>
      </c>
      <c r="O24" s="279" t="s">
        <v>225</v>
      </c>
      <c r="P24" s="280" t="s">
        <v>227</v>
      </c>
      <c r="Q24" s="279">
        <v>6</v>
      </c>
      <c r="R24" s="279">
        <v>6</v>
      </c>
      <c r="S24" s="279">
        <v>5</v>
      </c>
      <c r="T24" s="279">
        <v>8</v>
      </c>
      <c r="U24" s="280">
        <v>7</v>
      </c>
      <c r="V24" s="279">
        <v>6</v>
      </c>
      <c r="W24" s="279">
        <v>6</v>
      </c>
      <c r="X24" s="279">
        <v>5</v>
      </c>
      <c r="Y24" s="279">
        <v>8</v>
      </c>
      <c r="Z24" s="280">
        <v>7</v>
      </c>
      <c r="AA24" s="279">
        <v>10</v>
      </c>
      <c r="AB24" s="279">
        <v>2</v>
      </c>
      <c r="AC24" s="279">
        <v>1</v>
      </c>
      <c r="AD24" s="279" t="s">
        <v>41</v>
      </c>
      <c r="AE24" s="279">
        <v>10</v>
      </c>
      <c r="AF24" s="279">
        <v>10</v>
      </c>
      <c r="AG24" s="279">
        <v>10</v>
      </c>
      <c r="AH24" s="279">
        <v>9</v>
      </c>
      <c r="AI24" s="279" t="s">
        <v>41</v>
      </c>
      <c r="AJ24" s="279" t="s">
        <v>41</v>
      </c>
      <c r="AK24" s="280" t="s">
        <v>41</v>
      </c>
      <c r="AL24" s="279">
        <v>4</v>
      </c>
      <c r="AM24" s="279">
        <v>7</v>
      </c>
      <c r="AN24" s="280">
        <v>7</v>
      </c>
      <c r="AO24" s="281">
        <v>2200000</v>
      </c>
      <c r="AP24" s="280">
        <v>2</v>
      </c>
      <c r="AQ24" s="282">
        <f t="shared" si="7"/>
        <v>6.833333333333333</v>
      </c>
      <c r="AR24" s="283" t="str">
        <f t="shared" si="8"/>
        <v>GoodReg</v>
      </c>
      <c r="AS24" s="282">
        <f t="shared" si="9"/>
        <v>6.833333333333333</v>
      </c>
      <c r="AT24" s="282" t="str">
        <f t="shared" si="10"/>
        <v>GoodReg</v>
      </c>
      <c r="AU24" s="283">
        <f t="shared" si="11"/>
        <v>6.833333333333333</v>
      </c>
      <c r="AV24" s="283" t="str">
        <f t="shared" si="12"/>
        <v>GoodReg</v>
      </c>
      <c r="AW24" s="284">
        <f t="shared" si="13"/>
        <v>0</v>
      </c>
      <c r="AX24" s="285">
        <f t="shared" si="14"/>
        <v>1</v>
      </c>
      <c r="AY24" s="285">
        <f t="shared" si="15"/>
        <v>0</v>
      </c>
      <c r="AZ24" s="285">
        <f t="shared" si="16"/>
        <v>0</v>
      </c>
      <c r="BA24" s="285">
        <f t="shared" si="17"/>
        <v>0</v>
      </c>
      <c r="BB24" s="285">
        <f t="shared" si="18"/>
        <v>0</v>
      </c>
      <c r="BC24" s="285">
        <f t="shared" si="19"/>
        <v>1</v>
      </c>
      <c r="BD24" s="285">
        <f t="shared" si="20"/>
        <v>1</v>
      </c>
      <c r="BE24" s="280">
        <f t="shared" si="21"/>
        <v>1</v>
      </c>
      <c r="BF24" s="284">
        <f t="shared" si="22"/>
        <v>0</v>
      </c>
      <c r="BG24" s="285">
        <f t="shared" si="23"/>
        <v>1</v>
      </c>
      <c r="BH24" s="285">
        <f t="shared" si="24"/>
        <v>0</v>
      </c>
      <c r="BI24" s="285">
        <f t="shared" si="25"/>
        <v>0</v>
      </c>
      <c r="BJ24" s="285">
        <f t="shared" si="26"/>
        <v>0</v>
      </c>
      <c r="BK24" s="285">
        <f t="shared" si="27"/>
        <v>0</v>
      </c>
      <c r="BL24" s="285">
        <f t="shared" si="28"/>
        <v>1</v>
      </c>
      <c r="BM24" s="285">
        <f t="shared" si="29"/>
        <v>1</v>
      </c>
      <c r="BN24" s="280">
        <f t="shared" si="30"/>
        <v>1</v>
      </c>
      <c r="BO24" s="280">
        <f t="shared" si="31"/>
        <v>1</v>
      </c>
      <c r="BP24" s="286">
        <f t="shared" si="32"/>
        <v>2</v>
      </c>
      <c r="BQ24" s="279" t="str">
        <f t="shared" si="33"/>
        <v/>
      </c>
      <c r="BR24" s="278" t="str">
        <f t="shared" si="34"/>
        <v>There</v>
      </c>
      <c r="BS24" s="279" t="str">
        <f t="shared" si="35"/>
        <v>Start</v>
      </c>
      <c r="BT24" s="279" t="str">
        <f t="shared" si="36"/>
        <v>Start</v>
      </c>
      <c r="BU24" s="279" t="str">
        <f t="shared" si="37"/>
        <v>ML</v>
      </c>
      <c r="BV24" s="279">
        <f t="shared" si="38"/>
        <v>0</v>
      </c>
      <c r="BW24" s="279">
        <f t="shared" si="39"/>
        <v>0</v>
      </c>
      <c r="BX24" s="279">
        <f t="shared" si="40"/>
        <v>0</v>
      </c>
      <c r="BY24" s="279">
        <f t="shared" si="41"/>
        <v>0</v>
      </c>
      <c r="BZ24" s="279">
        <f t="shared" si="42"/>
        <v>0</v>
      </c>
      <c r="CA24" s="279">
        <f t="shared" si="43"/>
        <v>0</v>
      </c>
      <c r="CB24" s="279">
        <f t="shared" si="44"/>
        <v>19</v>
      </c>
      <c r="CC24" s="279">
        <f t="shared" si="45"/>
        <v>11</v>
      </c>
      <c r="CD24" s="279">
        <f t="shared" si="46"/>
        <v>14</v>
      </c>
      <c r="CE24" s="279" t="str">
        <f t="shared" si="47"/>
        <v>Now - Age</v>
      </c>
      <c r="CF24" s="294" t="str">
        <f t="shared" si="48"/>
        <v/>
      </c>
      <c r="CG24" s="294" t="str">
        <f t="shared" si="49"/>
        <v>X</v>
      </c>
      <c r="CH24" s="294" t="str">
        <f t="shared" si="50"/>
        <v>X</v>
      </c>
      <c r="CI24" s="294" t="str">
        <f t="shared" si="51"/>
        <v>X</v>
      </c>
      <c r="CJ24" s="294" t="str">
        <f t="shared" si="57"/>
        <v>X</v>
      </c>
      <c r="CK24" s="294" t="str">
        <f t="shared" si="53"/>
        <v/>
      </c>
      <c r="CL24" s="294" t="str">
        <f t="shared" si="54"/>
        <v/>
      </c>
      <c r="CM24" s="294" t="str">
        <f t="shared" si="55"/>
        <v/>
      </c>
      <c r="CN24" s="294" t="str">
        <f t="shared" si="56"/>
        <v/>
      </c>
    </row>
    <row r="25" spans="1:92">
      <c r="A25" s="277" t="str">
        <f>IF(ISERROR(VLOOKUP(G25,CON!$C$3:$C$24,1,FALSE)),IF(ISERROR(VLOOKUP(G25,'PSP-AAA'!$C$6:$C$33,1,FALSE)),IF(ISERROR(VLOOKUP(G25,'NH-AA'!$C$6:$C$33,1,FALSE)),IF(ISERROR(VLOOKUP(G25,'CRG-A'!$C$6:$C$33,1,FALSE)),IF(ISERROR(VLOOKUP(G25,'PC-S A'!$C$6:$C$33,1,FALSE)),"","S A"),"A"),"AA"),"AAA"),"ML")</f>
        <v>AAA</v>
      </c>
      <c r="B25" s="278"/>
      <c r="C25" s="279">
        <f t="shared" si="4"/>
        <v>2</v>
      </c>
      <c r="D25" s="279">
        <f t="shared" si="5"/>
        <v>2</v>
      </c>
      <c r="E25" s="279" t="str">
        <f t="shared" si="6"/>
        <v>K</v>
      </c>
      <c r="F25" s="279" t="s">
        <v>100</v>
      </c>
      <c r="G25" s="279" t="s">
        <v>240</v>
      </c>
      <c r="H25" s="279" t="s">
        <v>25</v>
      </c>
      <c r="I25" s="279" t="s">
        <v>207</v>
      </c>
      <c r="J25" s="279">
        <v>26</v>
      </c>
      <c r="K25" s="279" t="s">
        <v>103</v>
      </c>
      <c r="L25" s="279" t="s">
        <v>103</v>
      </c>
      <c r="M25" s="279" t="s">
        <v>47</v>
      </c>
      <c r="N25" s="280" t="s">
        <v>42</v>
      </c>
      <c r="O25" s="279" t="s">
        <v>225</v>
      </c>
      <c r="P25" s="280" t="s">
        <v>223</v>
      </c>
      <c r="Q25" s="279">
        <v>6</v>
      </c>
      <c r="R25" s="279">
        <v>5</v>
      </c>
      <c r="S25" s="279">
        <v>6</v>
      </c>
      <c r="T25" s="279">
        <v>7</v>
      </c>
      <c r="U25" s="280">
        <v>6</v>
      </c>
      <c r="V25" s="279">
        <v>6</v>
      </c>
      <c r="W25" s="279">
        <v>5</v>
      </c>
      <c r="X25" s="279">
        <v>6</v>
      </c>
      <c r="Y25" s="279">
        <v>7</v>
      </c>
      <c r="Z25" s="280">
        <v>6</v>
      </c>
      <c r="AA25" s="279">
        <v>1</v>
      </c>
      <c r="AB25" s="279">
        <v>6</v>
      </c>
      <c r="AC25" s="279">
        <v>1</v>
      </c>
      <c r="AD25" s="279" t="s">
        <v>41</v>
      </c>
      <c r="AE25" s="279" t="s">
        <v>41</v>
      </c>
      <c r="AF25" s="279" t="s">
        <v>41</v>
      </c>
      <c r="AG25" s="279" t="s">
        <v>41</v>
      </c>
      <c r="AH25" s="279" t="s">
        <v>41</v>
      </c>
      <c r="AI25" s="279">
        <v>8</v>
      </c>
      <c r="AJ25" s="279">
        <v>4</v>
      </c>
      <c r="AK25" s="280">
        <v>7</v>
      </c>
      <c r="AL25" s="279">
        <v>6</v>
      </c>
      <c r="AM25" s="279">
        <v>8</v>
      </c>
      <c r="AN25" s="280">
        <v>9</v>
      </c>
      <c r="AO25" s="281">
        <v>500000</v>
      </c>
      <c r="AP25" s="280" t="s">
        <v>45</v>
      </c>
      <c r="AQ25" s="282">
        <f t="shared" si="7"/>
        <v>6.833333333333333</v>
      </c>
      <c r="AR25" s="283" t="str">
        <f t="shared" si="8"/>
        <v>GoodReg</v>
      </c>
      <c r="AS25" s="282">
        <f t="shared" si="9"/>
        <v>6.833333333333333</v>
      </c>
      <c r="AT25" s="282" t="str">
        <f t="shared" si="10"/>
        <v>GoodReg</v>
      </c>
      <c r="AU25" s="283">
        <f t="shared" si="11"/>
        <v>6.833333333333333</v>
      </c>
      <c r="AV25" s="283" t="str">
        <f t="shared" si="12"/>
        <v>GoodReg</v>
      </c>
      <c r="AW25" s="284">
        <f t="shared" si="13"/>
        <v>0</v>
      </c>
      <c r="AX25" s="285">
        <f t="shared" si="14"/>
        <v>1</v>
      </c>
      <c r="AY25" s="285">
        <f t="shared" si="15"/>
        <v>0</v>
      </c>
      <c r="AZ25" s="285">
        <f t="shared" si="16"/>
        <v>0</v>
      </c>
      <c r="BA25" s="285">
        <f t="shared" si="17"/>
        <v>0</v>
      </c>
      <c r="BB25" s="285">
        <f t="shared" si="18"/>
        <v>0</v>
      </c>
      <c r="BC25" s="285">
        <f t="shared" si="19"/>
        <v>1</v>
      </c>
      <c r="BD25" s="285">
        <f t="shared" si="20"/>
        <v>1</v>
      </c>
      <c r="BE25" s="280">
        <f t="shared" si="21"/>
        <v>1</v>
      </c>
      <c r="BF25" s="284">
        <f t="shared" si="22"/>
        <v>0</v>
      </c>
      <c r="BG25" s="285">
        <f t="shared" si="23"/>
        <v>1</v>
      </c>
      <c r="BH25" s="285">
        <f t="shared" si="24"/>
        <v>0</v>
      </c>
      <c r="BI25" s="285">
        <f t="shared" si="25"/>
        <v>0</v>
      </c>
      <c r="BJ25" s="285">
        <f t="shared" si="26"/>
        <v>0</v>
      </c>
      <c r="BK25" s="285">
        <f t="shared" si="27"/>
        <v>0</v>
      </c>
      <c r="BL25" s="285">
        <f t="shared" si="28"/>
        <v>1</v>
      </c>
      <c r="BM25" s="285">
        <f t="shared" si="29"/>
        <v>1</v>
      </c>
      <c r="BN25" s="280">
        <f t="shared" si="30"/>
        <v>1</v>
      </c>
      <c r="BO25" s="280">
        <f t="shared" si="31"/>
        <v>3</v>
      </c>
      <c r="BP25" s="286">
        <f t="shared" si="32"/>
        <v>2</v>
      </c>
      <c r="BQ25" s="279" t="str">
        <f t="shared" si="33"/>
        <v/>
      </c>
      <c r="BR25" s="278" t="str">
        <f t="shared" si="34"/>
        <v>Likely</v>
      </c>
      <c r="BS25" s="279" t="str">
        <f t="shared" si="35"/>
        <v>Start</v>
      </c>
      <c r="BT25" s="279" t="str">
        <f t="shared" si="36"/>
        <v>Start</v>
      </c>
      <c r="BU25" s="279" t="str">
        <f t="shared" si="37"/>
        <v>ML</v>
      </c>
      <c r="BV25" s="279">
        <f t="shared" si="38"/>
        <v>0</v>
      </c>
      <c r="BW25" s="279">
        <f t="shared" si="39"/>
        <v>0</v>
      </c>
      <c r="BX25" s="279">
        <f t="shared" si="40"/>
        <v>0</v>
      </c>
      <c r="BY25" s="279">
        <f t="shared" si="41"/>
        <v>0</v>
      </c>
      <c r="BZ25" s="279">
        <f t="shared" si="42"/>
        <v>0</v>
      </c>
      <c r="CA25" s="279">
        <f t="shared" si="43"/>
        <v>0</v>
      </c>
      <c r="CB25" s="279">
        <f t="shared" si="44"/>
        <v>19</v>
      </c>
      <c r="CC25" s="279">
        <f t="shared" si="45"/>
        <v>12</v>
      </c>
      <c r="CD25" s="279">
        <f t="shared" si="46"/>
        <v>13</v>
      </c>
      <c r="CE25" s="279" t="str">
        <f t="shared" si="47"/>
        <v>Now - Age</v>
      </c>
      <c r="CF25" s="294" t="str">
        <f t="shared" si="48"/>
        <v/>
      </c>
      <c r="CG25" s="294" t="str">
        <f t="shared" si="49"/>
        <v/>
      </c>
      <c r="CH25" s="294" t="str">
        <f t="shared" si="50"/>
        <v/>
      </c>
      <c r="CI25" s="294" t="str">
        <f t="shared" si="51"/>
        <v/>
      </c>
      <c r="CJ25" s="294" t="str">
        <f t="shared" si="57"/>
        <v/>
      </c>
      <c r="CK25" s="294" t="str">
        <f t="shared" si="53"/>
        <v>X</v>
      </c>
      <c r="CL25" s="294" t="str">
        <f t="shared" si="54"/>
        <v/>
      </c>
      <c r="CM25" s="294" t="str">
        <f t="shared" si="55"/>
        <v/>
      </c>
      <c r="CN25" s="294" t="str">
        <f t="shared" si="56"/>
        <v/>
      </c>
    </row>
    <row r="26" spans="1:92">
      <c r="A26" s="277" t="str">
        <f>IF(ISERROR(VLOOKUP(G26,CON!$C$3:$C$24,1,FALSE)),IF(ISERROR(VLOOKUP(G26,'PSP-AAA'!$C$6:$C$33,1,FALSE)),IF(ISERROR(VLOOKUP(G26,'NH-AA'!$C$6:$C$33,1,FALSE)),IF(ISERROR(VLOOKUP(G26,'CRG-A'!$C$6:$C$33,1,FALSE)),IF(ISERROR(VLOOKUP(G26,'PC-S A'!$C$6:$C$33,1,FALSE)),"","S A"),"A"),"AA"),"AAA"),"ML")</f>
        <v/>
      </c>
      <c r="B26" s="278"/>
      <c r="C26" s="279">
        <f t="shared" si="4"/>
        <v>2</v>
      </c>
      <c r="D26" s="279">
        <f t="shared" si="5"/>
        <v>2</v>
      </c>
      <c r="E26" s="279" t="str">
        <f t="shared" si="6"/>
        <v>T</v>
      </c>
      <c r="F26" s="279" t="s">
        <v>92</v>
      </c>
      <c r="G26" s="279" t="s">
        <v>601</v>
      </c>
      <c r="H26" s="279" t="s">
        <v>41</v>
      </c>
      <c r="I26" s="279" t="s">
        <v>41</v>
      </c>
      <c r="J26" s="279">
        <v>30</v>
      </c>
      <c r="K26" s="279" t="s">
        <v>104</v>
      </c>
      <c r="L26" s="279" t="s">
        <v>104</v>
      </c>
      <c r="M26" s="279" t="s">
        <v>40</v>
      </c>
      <c r="N26" s="280" t="s">
        <v>42</v>
      </c>
      <c r="O26" s="279" t="s">
        <v>226</v>
      </c>
      <c r="P26" s="280" t="s">
        <v>223</v>
      </c>
      <c r="Q26" s="279">
        <v>7</v>
      </c>
      <c r="R26" s="279">
        <v>7</v>
      </c>
      <c r="S26" s="279">
        <v>3</v>
      </c>
      <c r="T26" s="279">
        <v>8</v>
      </c>
      <c r="U26" s="280">
        <v>6</v>
      </c>
      <c r="V26" s="279">
        <v>7</v>
      </c>
      <c r="W26" s="279">
        <v>7</v>
      </c>
      <c r="X26" s="279">
        <v>3</v>
      </c>
      <c r="Y26" s="279">
        <v>8</v>
      </c>
      <c r="Z26" s="280">
        <v>6</v>
      </c>
      <c r="AA26" s="279">
        <v>5</v>
      </c>
      <c r="AB26" s="279">
        <v>5</v>
      </c>
      <c r="AC26" s="279">
        <v>7</v>
      </c>
      <c r="AD26" s="279">
        <v>7</v>
      </c>
      <c r="AE26" s="279" t="s">
        <v>41</v>
      </c>
      <c r="AF26" s="279" t="s">
        <v>41</v>
      </c>
      <c r="AG26" s="279" t="s">
        <v>41</v>
      </c>
      <c r="AH26" s="279" t="s">
        <v>41</v>
      </c>
      <c r="AI26" s="279" t="s">
        <v>41</v>
      </c>
      <c r="AJ26" s="279" t="s">
        <v>41</v>
      </c>
      <c r="AK26" s="280" t="s">
        <v>41</v>
      </c>
      <c r="AL26" s="279">
        <v>1</v>
      </c>
      <c r="AM26" s="279">
        <v>2</v>
      </c>
      <c r="AN26" s="280">
        <v>2</v>
      </c>
      <c r="AO26" s="281" t="s">
        <v>599</v>
      </c>
      <c r="AP26" s="280">
        <v>0</v>
      </c>
      <c r="AQ26" s="282">
        <f t="shared" si="7"/>
        <v>6.5</v>
      </c>
      <c r="AR26" s="283" t="str">
        <f t="shared" si="8"/>
        <v>Reg</v>
      </c>
      <c r="AS26" s="282">
        <f t="shared" si="9"/>
        <v>6.5</v>
      </c>
      <c r="AT26" s="282" t="str">
        <f t="shared" si="10"/>
        <v>Reg</v>
      </c>
      <c r="AU26" s="283">
        <f t="shared" si="11"/>
        <v>6.5</v>
      </c>
      <c r="AV26" s="283" t="str">
        <f t="shared" si="12"/>
        <v>Reg</v>
      </c>
      <c r="AW26" s="284">
        <f t="shared" si="13"/>
        <v>0</v>
      </c>
      <c r="AX26" s="285">
        <f t="shared" si="14"/>
        <v>1</v>
      </c>
      <c r="AY26" s="285">
        <f t="shared" si="15"/>
        <v>0</v>
      </c>
      <c r="AZ26" s="285">
        <f t="shared" si="16"/>
        <v>0</v>
      </c>
      <c r="BA26" s="285">
        <f t="shared" si="17"/>
        <v>0</v>
      </c>
      <c r="BB26" s="285">
        <f t="shared" si="18"/>
        <v>1</v>
      </c>
      <c r="BC26" s="285">
        <f t="shared" si="19"/>
        <v>1</v>
      </c>
      <c r="BD26" s="285">
        <f t="shared" si="20"/>
        <v>1</v>
      </c>
      <c r="BE26" s="280">
        <f t="shared" si="21"/>
        <v>1</v>
      </c>
      <c r="BF26" s="284">
        <f t="shared" si="22"/>
        <v>0</v>
      </c>
      <c r="BG26" s="285">
        <f t="shared" si="23"/>
        <v>1</v>
      </c>
      <c r="BH26" s="285">
        <f t="shared" si="24"/>
        <v>0</v>
      </c>
      <c r="BI26" s="285">
        <f t="shared" si="25"/>
        <v>0</v>
      </c>
      <c r="BJ26" s="285">
        <f t="shared" si="26"/>
        <v>0</v>
      </c>
      <c r="BK26" s="285">
        <f t="shared" si="27"/>
        <v>1</v>
      </c>
      <c r="BL26" s="285">
        <f t="shared" si="28"/>
        <v>1</v>
      </c>
      <c r="BM26" s="285">
        <f t="shared" si="29"/>
        <v>1</v>
      </c>
      <c r="BN26" s="280">
        <f t="shared" si="30"/>
        <v>1</v>
      </c>
      <c r="BO26" s="280">
        <f t="shared" si="31"/>
        <v>0</v>
      </c>
      <c r="BP26" s="286">
        <f t="shared" si="32"/>
        <v>2</v>
      </c>
      <c r="BQ26" s="279" t="str">
        <f t="shared" si="33"/>
        <v/>
      </c>
      <c r="BR26" s="278" t="str">
        <f t="shared" si="34"/>
        <v>Possible</v>
      </c>
      <c r="BS26" s="279" t="str">
        <f t="shared" si="35"/>
        <v>Bench</v>
      </c>
      <c r="BT26" s="279" t="str">
        <f t="shared" si="36"/>
        <v>Bench</v>
      </c>
      <c r="BU26" s="279" t="str">
        <f t="shared" si="37"/>
        <v>ML</v>
      </c>
      <c r="BV26" s="279">
        <f t="shared" si="38"/>
        <v>0</v>
      </c>
      <c r="BW26" s="279">
        <f t="shared" si="39"/>
        <v>0</v>
      </c>
      <c r="BX26" s="279">
        <f t="shared" si="40"/>
        <v>0</v>
      </c>
      <c r="BY26" s="279">
        <f t="shared" si="41"/>
        <v>0</v>
      </c>
      <c r="BZ26" s="279">
        <f t="shared" si="42"/>
        <v>0</v>
      </c>
      <c r="CA26" s="279">
        <f t="shared" si="43"/>
        <v>0</v>
      </c>
      <c r="CB26" s="279">
        <f t="shared" si="44"/>
        <v>18</v>
      </c>
      <c r="CC26" s="279">
        <f t="shared" si="45"/>
        <v>10</v>
      </c>
      <c r="CD26" s="279">
        <f t="shared" si="46"/>
        <v>15</v>
      </c>
      <c r="CE26" s="279" t="str">
        <f t="shared" si="47"/>
        <v>Now - Age</v>
      </c>
      <c r="CF26" s="294" t="str">
        <f t="shared" si="48"/>
        <v>X</v>
      </c>
      <c r="CG26" s="294" t="str">
        <f t="shared" si="49"/>
        <v/>
      </c>
      <c r="CH26" s="294" t="str">
        <f t="shared" si="50"/>
        <v/>
      </c>
      <c r="CI26" s="294" t="str">
        <f t="shared" si="51"/>
        <v/>
      </c>
      <c r="CJ26" s="294" t="str">
        <f t="shared" si="57"/>
        <v/>
      </c>
      <c r="CK26" s="294" t="str">
        <f t="shared" si="53"/>
        <v/>
      </c>
      <c r="CL26" s="294" t="str">
        <f t="shared" si="54"/>
        <v/>
      </c>
      <c r="CM26" s="294" t="str">
        <f t="shared" si="55"/>
        <v/>
      </c>
      <c r="CN26" s="294" t="str">
        <f t="shared" si="56"/>
        <v/>
      </c>
    </row>
    <row r="27" spans="1:92">
      <c r="A27" s="277" t="str">
        <f>IF(ISERROR(VLOOKUP(G27,CON!$C$3:$C$24,1,FALSE)),IF(ISERROR(VLOOKUP(G27,'PSP-AAA'!$C$6:$C$33,1,FALSE)),IF(ISERROR(VLOOKUP(G27,'NH-AA'!$C$6:$C$33,1,FALSE)),IF(ISERROR(VLOOKUP(G27,'CRG-A'!$C$6:$C$33,1,FALSE)),IF(ISERROR(VLOOKUP(G27,'PC-S A'!$C$6:$C$33,1,FALSE)),"","S A"),"A"),"AA"),"AAA"),"ML")</f>
        <v>ML</v>
      </c>
      <c r="B27" s="278"/>
      <c r="C27" s="279">
        <f t="shared" si="4"/>
        <v>7</v>
      </c>
      <c r="D27" s="279">
        <f t="shared" si="5"/>
        <v>7</v>
      </c>
      <c r="E27" s="279" t="str">
        <f t="shared" si="6"/>
        <v>T</v>
      </c>
      <c r="F27" s="279" t="s">
        <v>94</v>
      </c>
      <c r="G27" s="279" t="s">
        <v>449</v>
      </c>
      <c r="H27" s="279" t="s">
        <v>25</v>
      </c>
      <c r="I27" s="279" t="s">
        <v>207</v>
      </c>
      <c r="J27" s="279">
        <v>29</v>
      </c>
      <c r="K27" s="279" t="s">
        <v>104</v>
      </c>
      <c r="L27" s="279" t="s">
        <v>104</v>
      </c>
      <c r="M27" s="279" t="s">
        <v>42</v>
      </c>
      <c r="N27" s="280" t="s">
        <v>47</v>
      </c>
      <c r="O27" s="279" t="s">
        <v>225</v>
      </c>
      <c r="P27" s="280" t="s">
        <v>225</v>
      </c>
      <c r="Q27" s="279">
        <v>5</v>
      </c>
      <c r="R27" s="279">
        <v>9</v>
      </c>
      <c r="S27" s="279">
        <v>8</v>
      </c>
      <c r="T27" s="279">
        <v>6</v>
      </c>
      <c r="U27" s="280">
        <v>3</v>
      </c>
      <c r="V27" s="279">
        <v>5</v>
      </c>
      <c r="W27" s="279">
        <v>9</v>
      </c>
      <c r="X27" s="279">
        <v>8</v>
      </c>
      <c r="Y27" s="279">
        <v>6</v>
      </c>
      <c r="Z27" s="280">
        <v>3</v>
      </c>
      <c r="AA27" s="279">
        <v>3</v>
      </c>
      <c r="AB27" s="279">
        <v>3</v>
      </c>
      <c r="AC27" s="279">
        <v>1</v>
      </c>
      <c r="AD27" s="279" t="s">
        <v>41</v>
      </c>
      <c r="AE27" s="279">
        <v>6</v>
      </c>
      <c r="AF27" s="279" t="s">
        <v>41</v>
      </c>
      <c r="AG27" s="279" t="s">
        <v>41</v>
      </c>
      <c r="AH27" s="279" t="s">
        <v>41</v>
      </c>
      <c r="AI27" s="279" t="s">
        <v>41</v>
      </c>
      <c r="AJ27" s="279" t="s">
        <v>41</v>
      </c>
      <c r="AK27" s="280" t="s">
        <v>41</v>
      </c>
      <c r="AL27" s="279">
        <v>1</v>
      </c>
      <c r="AM27" s="279">
        <v>3</v>
      </c>
      <c r="AN27" s="280">
        <v>3</v>
      </c>
      <c r="AO27" s="281">
        <v>500000</v>
      </c>
      <c r="AP27" s="280" t="s">
        <v>45</v>
      </c>
      <c r="AQ27" s="282">
        <f t="shared" si="7"/>
        <v>6.083333333333333</v>
      </c>
      <c r="AR27" s="283" t="str">
        <f t="shared" si="8"/>
        <v>Reg</v>
      </c>
      <c r="AS27" s="282">
        <f t="shared" si="9"/>
        <v>6.083333333333333</v>
      </c>
      <c r="AT27" s="282" t="str">
        <f t="shared" si="10"/>
        <v>Reg</v>
      </c>
      <c r="AU27" s="283">
        <f t="shared" si="11"/>
        <v>6.083333333333333</v>
      </c>
      <c r="AV27" s="283" t="str">
        <f t="shared" si="12"/>
        <v>Reg</v>
      </c>
      <c r="AW27" s="284">
        <f t="shared" si="13"/>
        <v>0</v>
      </c>
      <c r="AX27" s="285">
        <f t="shared" si="14"/>
        <v>0</v>
      </c>
      <c r="AY27" s="285">
        <f t="shared" si="15"/>
        <v>0</v>
      </c>
      <c r="AZ27" s="285">
        <f t="shared" si="16"/>
        <v>0</v>
      </c>
      <c r="BA27" s="285">
        <f t="shared" si="17"/>
        <v>0</v>
      </c>
      <c r="BB27" s="285">
        <f t="shared" si="18"/>
        <v>0</v>
      </c>
      <c r="BC27" s="285">
        <f t="shared" si="19"/>
        <v>1</v>
      </c>
      <c r="BD27" s="285">
        <f t="shared" si="20"/>
        <v>1</v>
      </c>
      <c r="BE27" s="280">
        <f t="shared" si="21"/>
        <v>1</v>
      </c>
      <c r="BF27" s="284">
        <f t="shared" si="22"/>
        <v>0</v>
      </c>
      <c r="BG27" s="285">
        <f t="shared" si="23"/>
        <v>0</v>
      </c>
      <c r="BH27" s="285">
        <f t="shared" si="24"/>
        <v>0</v>
      </c>
      <c r="BI27" s="285">
        <f t="shared" si="25"/>
        <v>0</v>
      </c>
      <c r="BJ27" s="285">
        <f t="shared" si="26"/>
        <v>0</v>
      </c>
      <c r="BK27" s="285">
        <f t="shared" si="27"/>
        <v>0</v>
      </c>
      <c r="BL27" s="285">
        <f t="shared" si="28"/>
        <v>1</v>
      </c>
      <c r="BM27" s="285">
        <f t="shared" si="29"/>
        <v>1</v>
      </c>
      <c r="BN27" s="280">
        <f t="shared" si="30"/>
        <v>1</v>
      </c>
      <c r="BO27" s="280">
        <f t="shared" si="31"/>
        <v>0</v>
      </c>
      <c r="BP27" s="286">
        <f t="shared" si="32"/>
        <v>1</v>
      </c>
      <c r="BQ27" s="279" t="str">
        <f t="shared" si="33"/>
        <v/>
      </c>
      <c r="BR27" s="278" t="str">
        <f t="shared" si="34"/>
        <v>There</v>
      </c>
      <c r="BS27" s="279" t="str">
        <f t="shared" si="35"/>
        <v>Bench</v>
      </c>
      <c r="BT27" s="279" t="str">
        <f t="shared" si="36"/>
        <v>Bench</v>
      </c>
      <c r="BU27" s="279" t="str">
        <f t="shared" si="37"/>
        <v>AAA</v>
      </c>
      <c r="BV27" s="279">
        <f t="shared" si="38"/>
        <v>0</v>
      </c>
      <c r="BW27" s="279">
        <f t="shared" si="39"/>
        <v>0</v>
      </c>
      <c r="BX27" s="279">
        <f t="shared" si="40"/>
        <v>0</v>
      </c>
      <c r="BY27" s="279">
        <f t="shared" si="41"/>
        <v>0</v>
      </c>
      <c r="BZ27" s="279">
        <f t="shared" si="42"/>
        <v>0</v>
      </c>
      <c r="CA27" s="279">
        <f t="shared" si="43"/>
        <v>0</v>
      </c>
      <c r="CB27" s="279">
        <f t="shared" si="44"/>
        <v>19</v>
      </c>
      <c r="CC27" s="279">
        <f t="shared" si="45"/>
        <v>13</v>
      </c>
      <c r="CD27" s="279">
        <f t="shared" si="46"/>
        <v>11</v>
      </c>
      <c r="CE27" s="279" t="str">
        <f t="shared" si="47"/>
        <v>Now - Age</v>
      </c>
      <c r="CF27" s="294" t="str">
        <f t="shared" si="48"/>
        <v/>
      </c>
      <c r="CG27" s="294" t="str">
        <f t="shared" si="49"/>
        <v>X</v>
      </c>
      <c r="CH27" s="294" t="str">
        <f t="shared" si="50"/>
        <v/>
      </c>
      <c r="CI27" s="294" t="str">
        <f t="shared" si="51"/>
        <v/>
      </c>
      <c r="CJ27" s="294" t="str">
        <f t="shared" si="57"/>
        <v/>
      </c>
      <c r="CK27" s="294" t="str">
        <f t="shared" si="53"/>
        <v/>
      </c>
      <c r="CL27" s="294" t="str">
        <f t="shared" si="54"/>
        <v/>
      </c>
      <c r="CM27" s="294" t="str">
        <f t="shared" si="55"/>
        <v/>
      </c>
      <c r="CN27" s="294" t="str">
        <f t="shared" si="56"/>
        <v/>
      </c>
    </row>
    <row r="28" spans="1:92">
      <c r="A28" s="277" t="str">
        <f>IF(ISERROR(VLOOKUP(G28,CON!$C$3:$C$24,1,FALSE)),IF(ISERROR(VLOOKUP(G28,'PSP-AAA'!$C$6:$C$33,1,FALSE)),IF(ISERROR(VLOOKUP(G28,'NH-AA'!$C$6:$C$33,1,FALSE)),IF(ISERROR(VLOOKUP(G28,'CRG-A'!$C$6:$C$33,1,FALSE)),IF(ISERROR(VLOOKUP(G28,'PC-S A'!$C$6:$C$33,1,FALSE)),"","S A"),"A"),"AA"),"AAA"),"ML")</f>
        <v>AAA</v>
      </c>
      <c r="B28" s="278"/>
      <c r="C28" s="279">
        <f t="shared" si="4"/>
        <v>2</v>
      </c>
      <c r="D28" s="279">
        <f t="shared" si="5"/>
        <v>6</v>
      </c>
      <c r="E28" s="279" t="str">
        <f t="shared" si="6"/>
        <v>K</v>
      </c>
      <c r="F28" s="279" t="s">
        <v>98</v>
      </c>
      <c r="G28" s="279" t="s">
        <v>388</v>
      </c>
      <c r="H28" s="279" t="s">
        <v>371</v>
      </c>
      <c r="I28" s="279" t="s">
        <v>208</v>
      </c>
      <c r="J28" s="279">
        <v>24</v>
      </c>
      <c r="K28" s="279" t="s">
        <v>103</v>
      </c>
      <c r="L28" s="279" t="s">
        <v>104</v>
      </c>
      <c r="M28" s="279" t="s">
        <v>47</v>
      </c>
      <c r="N28" s="280" t="s">
        <v>42</v>
      </c>
      <c r="O28" s="279" t="s">
        <v>225</v>
      </c>
      <c r="P28" s="280" t="s">
        <v>224</v>
      </c>
      <c r="Q28" s="279">
        <v>8</v>
      </c>
      <c r="R28" s="279">
        <v>8</v>
      </c>
      <c r="S28" s="279">
        <v>4</v>
      </c>
      <c r="T28" s="279">
        <v>4</v>
      </c>
      <c r="U28" s="280">
        <v>6</v>
      </c>
      <c r="V28" s="279">
        <v>8</v>
      </c>
      <c r="W28" s="279">
        <v>8</v>
      </c>
      <c r="X28" s="279">
        <v>5</v>
      </c>
      <c r="Y28" s="279">
        <v>5</v>
      </c>
      <c r="Z28" s="280">
        <v>6</v>
      </c>
      <c r="AA28" s="279">
        <v>1</v>
      </c>
      <c r="AB28" s="279">
        <v>5</v>
      </c>
      <c r="AC28" s="279">
        <v>1</v>
      </c>
      <c r="AD28" s="279" t="s">
        <v>41</v>
      </c>
      <c r="AE28" s="279" t="s">
        <v>41</v>
      </c>
      <c r="AF28" s="279" t="s">
        <v>41</v>
      </c>
      <c r="AG28" s="279" t="s">
        <v>41</v>
      </c>
      <c r="AH28" s="279" t="s">
        <v>41</v>
      </c>
      <c r="AI28" s="279">
        <v>7</v>
      </c>
      <c r="AJ28" s="279">
        <v>3</v>
      </c>
      <c r="AK28" s="280">
        <v>3</v>
      </c>
      <c r="AL28" s="279">
        <v>4</v>
      </c>
      <c r="AM28" s="279">
        <v>6</v>
      </c>
      <c r="AN28" s="280">
        <v>5</v>
      </c>
      <c r="AO28" s="281" t="s">
        <v>41</v>
      </c>
      <c r="AP28" s="280">
        <v>0</v>
      </c>
      <c r="AQ28" s="282">
        <f t="shared" si="7"/>
        <v>5.833333333333333</v>
      </c>
      <c r="AR28" s="283" t="str">
        <f t="shared" si="8"/>
        <v>Reg</v>
      </c>
      <c r="AS28" s="282">
        <f t="shared" si="9"/>
        <v>6.5</v>
      </c>
      <c r="AT28" s="282" t="str">
        <f t="shared" si="10"/>
        <v>Reg</v>
      </c>
      <c r="AU28" s="283">
        <f t="shared" si="11"/>
        <v>6.5</v>
      </c>
      <c r="AV28" s="283" t="str">
        <f t="shared" si="12"/>
        <v>Reg</v>
      </c>
      <c r="AW28" s="284">
        <f t="shared" si="13"/>
        <v>0</v>
      </c>
      <c r="AX28" s="285">
        <f t="shared" si="14"/>
        <v>0</v>
      </c>
      <c r="AY28" s="285">
        <f t="shared" si="15"/>
        <v>0</v>
      </c>
      <c r="AZ28" s="285">
        <f t="shared" si="16"/>
        <v>0</v>
      </c>
      <c r="BA28" s="285">
        <f t="shared" si="17"/>
        <v>0</v>
      </c>
      <c r="BB28" s="285">
        <f t="shared" si="18"/>
        <v>1</v>
      </c>
      <c r="BC28" s="285">
        <f t="shared" si="19"/>
        <v>1</v>
      </c>
      <c r="BD28" s="285">
        <f t="shared" si="20"/>
        <v>1</v>
      </c>
      <c r="BE28" s="280">
        <f t="shared" si="21"/>
        <v>1</v>
      </c>
      <c r="BF28" s="284">
        <f t="shared" si="22"/>
        <v>0</v>
      </c>
      <c r="BG28" s="285">
        <f t="shared" si="23"/>
        <v>1</v>
      </c>
      <c r="BH28" s="285">
        <f t="shared" si="24"/>
        <v>0</v>
      </c>
      <c r="BI28" s="285">
        <f t="shared" si="25"/>
        <v>0</v>
      </c>
      <c r="BJ28" s="285">
        <f t="shared" si="26"/>
        <v>0</v>
      </c>
      <c r="BK28" s="285">
        <f t="shared" si="27"/>
        <v>1</v>
      </c>
      <c r="BL28" s="285">
        <f t="shared" si="28"/>
        <v>1</v>
      </c>
      <c r="BM28" s="285">
        <f t="shared" si="29"/>
        <v>1</v>
      </c>
      <c r="BN28" s="280">
        <f t="shared" si="30"/>
        <v>1</v>
      </c>
      <c r="BO28" s="280">
        <f t="shared" si="31"/>
        <v>0</v>
      </c>
      <c r="BP28" s="286">
        <f t="shared" si="32"/>
        <v>2</v>
      </c>
      <c r="BQ28" s="279" t="str">
        <f t="shared" si="33"/>
        <v/>
      </c>
      <c r="BR28" s="278" t="str">
        <f t="shared" si="34"/>
        <v>Possible</v>
      </c>
      <c r="BS28" s="279" t="str">
        <f t="shared" si="35"/>
        <v>Start</v>
      </c>
      <c r="BT28" s="279" t="str">
        <f t="shared" si="36"/>
        <v>Start</v>
      </c>
      <c r="BU28" s="279" t="str">
        <f t="shared" si="37"/>
        <v>ML</v>
      </c>
      <c r="BV28" s="279">
        <f t="shared" si="38"/>
        <v>0</v>
      </c>
      <c r="BW28" s="279">
        <f t="shared" si="39"/>
        <v>0</v>
      </c>
      <c r="BX28" s="279">
        <f t="shared" si="40"/>
        <v>-1</v>
      </c>
      <c r="BY28" s="279">
        <f t="shared" si="41"/>
        <v>-1</v>
      </c>
      <c r="BZ28" s="279">
        <f t="shared" si="42"/>
        <v>0</v>
      </c>
      <c r="CA28" s="279">
        <f t="shared" si="43"/>
        <v>-2</v>
      </c>
      <c r="CB28" s="279">
        <f t="shared" si="44"/>
        <v>18</v>
      </c>
      <c r="CC28" s="279">
        <f t="shared" si="45"/>
        <v>13</v>
      </c>
      <c r="CD28" s="279">
        <f t="shared" si="46"/>
        <v>13</v>
      </c>
      <c r="CE28" s="279" t="str">
        <f t="shared" si="47"/>
        <v>Now</v>
      </c>
      <c r="CF28" s="294" t="str">
        <f t="shared" si="48"/>
        <v/>
      </c>
      <c r="CG28" s="294" t="str">
        <f t="shared" si="49"/>
        <v/>
      </c>
      <c r="CH28" s="294" t="str">
        <f t="shared" si="50"/>
        <v/>
      </c>
      <c r="CI28" s="294" t="str">
        <f t="shared" si="51"/>
        <v/>
      </c>
      <c r="CJ28" s="294" t="str">
        <f t="shared" si="57"/>
        <v/>
      </c>
      <c r="CK28" s="294" t="str">
        <f t="shared" si="53"/>
        <v>X</v>
      </c>
      <c r="CL28" s="294" t="str">
        <f t="shared" si="54"/>
        <v/>
      </c>
      <c r="CM28" s="294" t="str">
        <f t="shared" si="55"/>
        <v/>
      </c>
      <c r="CN28" s="294" t="str">
        <f t="shared" si="56"/>
        <v/>
      </c>
    </row>
    <row r="29" spans="1:92">
      <c r="A29" s="277" t="str">
        <f>IF(ISERROR(VLOOKUP(G29,CON!$C$3:$C$24,1,FALSE)),IF(ISERROR(VLOOKUP(G29,'PSP-AAA'!$C$6:$C$33,1,FALSE)),IF(ISERROR(VLOOKUP(G29,'NH-AA'!$C$6:$C$33,1,FALSE)),IF(ISERROR(VLOOKUP(G29,'CRG-A'!$C$6:$C$33,1,FALSE)),IF(ISERROR(VLOOKUP(G29,'PC-S A'!$C$6:$C$33,1,FALSE)),"","S A"),"A"),"AA"),"AAA"),"ML")</f>
        <v>ML</v>
      </c>
      <c r="B29" s="278"/>
      <c r="C29" s="279">
        <f t="shared" si="4"/>
        <v>2</v>
      </c>
      <c r="D29" s="279">
        <f t="shared" si="5"/>
        <v>2</v>
      </c>
      <c r="E29" s="279" t="str">
        <f t="shared" si="6"/>
        <v>K</v>
      </c>
      <c r="F29" s="279" t="s">
        <v>96</v>
      </c>
      <c r="G29" s="279" t="s">
        <v>486</v>
      </c>
      <c r="H29" s="279" t="s">
        <v>25</v>
      </c>
      <c r="I29" s="279" t="s">
        <v>207</v>
      </c>
      <c r="J29" s="279">
        <v>25</v>
      </c>
      <c r="K29" s="279" t="s">
        <v>104</v>
      </c>
      <c r="L29" s="279" t="s">
        <v>104</v>
      </c>
      <c r="M29" s="279" t="s">
        <v>47</v>
      </c>
      <c r="N29" s="280" t="s">
        <v>42</v>
      </c>
      <c r="O29" s="279" t="s">
        <v>223</v>
      </c>
      <c r="P29" s="280" t="s">
        <v>223</v>
      </c>
      <c r="Q29" s="279">
        <v>7</v>
      </c>
      <c r="R29" s="279">
        <v>6</v>
      </c>
      <c r="S29" s="279">
        <v>2</v>
      </c>
      <c r="T29" s="279">
        <v>7</v>
      </c>
      <c r="U29" s="280">
        <v>7</v>
      </c>
      <c r="V29" s="279">
        <v>7</v>
      </c>
      <c r="W29" s="279">
        <v>6</v>
      </c>
      <c r="X29" s="279">
        <v>2</v>
      </c>
      <c r="Y29" s="279">
        <v>8</v>
      </c>
      <c r="Z29" s="280">
        <v>7</v>
      </c>
      <c r="AA29" s="279">
        <v>9</v>
      </c>
      <c r="AB29" s="279">
        <v>4</v>
      </c>
      <c r="AC29" s="279">
        <v>1</v>
      </c>
      <c r="AD29" s="279" t="s">
        <v>41</v>
      </c>
      <c r="AE29" s="279" t="s">
        <v>41</v>
      </c>
      <c r="AF29" s="279">
        <v>1</v>
      </c>
      <c r="AG29" s="279">
        <v>6</v>
      </c>
      <c r="AH29" s="279">
        <v>3</v>
      </c>
      <c r="AI29" s="279" t="s">
        <v>41</v>
      </c>
      <c r="AJ29" s="279" t="s">
        <v>41</v>
      </c>
      <c r="AK29" s="280" t="s">
        <v>41</v>
      </c>
      <c r="AL29" s="279">
        <v>3</v>
      </c>
      <c r="AM29" s="279">
        <v>5</v>
      </c>
      <c r="AN29" s="280">
        <v>4</v>
      </c>
      <c r="AO29" s="281">
        <v>500000</v>
      </c>
      <c r="AP29" s="280" t="s">
        <v>45</v>
      </c>
      <c r="AQ29" s="282">
        <f t="shared" si="7"/>
        <v>5.833333333333333</v>
      </c>
      <c r="AR29" s="283" t="str">
        <f t="shared" si="8"/>
        <v>Reg</v>
      </c>
      <c r="AS29" s="282">
        <f t="shared" si="9"/>
        <v>6.166666666666667</v>
      </c>
      <c r="AT29" s="282" t="str">
        <f t="shared" si="10"/>
        <v>Reg</v>
      </c>
      <c r="AU29" s="283">
        <f t="shared" si="11"/>
        <v>5.833333333333333</v>
      </c>
      <c r="AV29" s="283" t="str">
        <f t="shared" si="12"/>
        <v>Reg</v>
      </c>
      <c r="AW29" s="284">
        <f t="shared" si="13"/>
        <v>0</v>
      </c>
      <c r="AX29" s="285">
        <f t="shared" si="14"/>
        <v>1</v>
      </c>
      <c r="AY29" s="285">
        <f t="shared" si="15"/>
        <v>0</v>
      </c>
      <c r="AZ29" s="285">
        <f t="shared" si="16"/>
        <v>0</v>
      </c>
      <c r="BA29" s="285">
        <f t="shared" si="17"/>
        <v>0</v>
      </c>
      <c r="BB29" s="285">
        <f t="shared" si="18"/>
        <v>1</v>
      </c>
      <c r="BC29" s="285">
        <f t="shared" si="19"/>
        <v>1</v>
      </c>
      <c r="BD29" s="285">
        <f t="shared" si="20"/>
        <v>1</v>
      </c>
      <c r="BE29" s="280">
        <f t="shared" si="21"/>
        <v>1</v>
      </c>
      <c r="BF29" s="284">
        <f t="shared" si="22"/>
        <v>0</v>
      </c>
      <c r="BG29" s="285">
        <f t="shared" si="23"/>
        <v>1</v>
      </c>
      <c r="BH29" s="285">
        <f t="shared" si="24"/>
        <v>0</v>
      </c>
      <c r="BI29" s="285">
        <f t="shared" si="25"/>
        <v>0</v>
      </c>
      <c r="BJ29" s="285">
        <f t="shared" si="26"/>
        <v>0</v>
      </c>
      <c r="BK29" s="285">
        <f t="shared" si="27"/>
        <v>1</v>
      </c>
      <c r="BL29" s="285">
        <f t="shared" si="28"/>
        <v>1</v>
      </c>
      <c r="BM29" s="285">
        <f t="shared" si="29"/>
        <v>1</v>
      </c>
      <c r="BN29" s="280">
        <f t="shared" si="30"/>
        <v>1</v>
      </c>
      <c r="BO29" s="280">
        <f t="shared" si="31"/>
        <v>0</v>
      </c>
      <c r="BP29" s="286">
        <f t="shared" si="32"/>
        <v>1</v>
      </c>
      <c r="BQ29" s="279" t="str">
        <f t="shared" si="33"/>
        <v/>
      </c>
      <c r="BR29" s="278" t="str">
        <f t="shared" si="34"/>
        <v>There</v>
      </c>
      <c r="BS29" s="279" t="str">
        <f t="shared" si="35"/>
        <v>Bench</v>
      </c>
      <c r="BT29" s="279" t="str">
        <f t="shared" si="36"/>
        <v>Bench</v>
      </c>
      <c r="BU29" s="279" t="str">
        <f t="shared" si="37"/>
        <v>ML</v>
      </c>
      <c r="BV29" s="279">
        <f t="shared" si="38"/>
        <v>0</v>
      </c>
      <c r="BW29" s="279">
        <f t="shared" si="39"/>
        <v>0</v>
      </c>
      <c r="BX29" s="279">
        <f t="shared" si="40"/>
        <v>0</v>
      </c>
      <c r="BY29" s="279">
        <f t="shared" si="41"/>
        <v>-1</v>
      </c>
      <c r="BZ29" s="279">
        <f t="shared" si="42"/>
        <v>0</v>
      </c>
      <c r="CA29" s="279">
        <f t="shared" si="43"/>
        <v>-1</v>
      </c>
      <c r="CB29" s="279">
        <f t="shared" si="44"/>
        <v>17</v>
      </c>
      <c r="CC29" s="279">
        <f t="shared" si="45"/>
        <v>9</v>
      </c>
      <c r="CD29" s="279">
        <f t="shared" si="46"/>
        <v>15</v>
      </c>
      <c r="CE29" s="279" t="str">
        <f t="shared" si="47"/>
        <v>Now - Age</v>
      </c>
      <c r="CF29" s="294" t="str">
        <f t="shared" si="48"/>
        <v/>
      </c>
      <c r="CG29" s="294" t="str">
        <f t="shared" si="49"/>
        <v/>
      </c>
      <c r="CH29" s="294" t="str">
        <f t="shared" si="50"/>
        <v/>
      </c>
      <c r="CI29" s="294" t="str">
        <f t="shared" si="51"/>
        <v>X</v>
      </c>
      <c r="CJ29" s="294" t="str">
        <f t="shared" si="57"/>
        <v/>
      </c>
      <c r="CK29" s="294" t="str">
        <f t="shared" si="53"/>
        <v/>
      </c>
      <c r="CL29" s="294" t="str">
        <f t="shared" si="54"/>
        <v/>
      </c>
      <c r="CM29" s="294" t="str">
        <f t="shared" si="55"/>
        <v/>
      </c>
      <c r="CN29" s="294" t="str">
        <f t="shared" si="56"/>
        <v/>
      </c>
    </row>
    <row r="30" spans="1:92">
      <c r="A30" s="277" t="str">
        <f>IF(ISERROR(VLOOKUP(G30,CON!$C$3:$C$24,1,FALSE)),IF(ISERROR(VLOOKUP(G30,'PSP-AAA'!$C$6:$C$33,1,FALSE)),IF(ISERROR(VLOOKUP(G30,'NH-AA'!$C$6:$C$33,1,FALSE)),IF(ISERROR(VLOOKUP(G30,'CRG-A'!$C$6:$C$33,1,FALSE)),IF(ISERROR(VLOOKUP(G30,'PC-S A'!$C$6:$C$33,1,FALSE)),"","S A"),"A"),"AA"),"AAA"),"ML")</f>
        <v/>
      </c>
      <c r="B30" s="278"/>
      <c r="C30" s="279">
        <f t="shared" si="4"/>
        <v>2</v>
      </c>
      <c r="D30" s="279">
        <f t="shared" si="5"/>
        <v>2</v>
      </c>
      <c r="E30" s="279" t="str">
        <f t="shared" si="6"/>
        <v>K</v>
      </c>
      <c r="F30" s="279" t="s">
        <v>98</v>
      </c>
      <c r="G30" s="279" t="s">
        <v>53</v>
      </c>
      <c r="H30" s="279" t="s">
        <v>25</v>
      </c>
      <c r="I30" s="279" t="s">
        <v>207</v>
      </c>
      <c r="J30" s="279">
        <v>28</v>
      </c>
      <c r="K30" s="279" t="s">
        <v>104</v>
      </c>
      <c r="L30" s="279" t="s">
        <v>104</v>
      </c>
      <c r="M30" s="279" t="s">
        <v>47</v>
      </c>
      <c r="N30" s="280" t="s">
        <v>47</v>
      </c>
      <c r="O30" s="279" t="s">
        <v>224</v>
      </c>
      <c r="P30" s="280" t="s">
        <v>227</v>
      </c>
      <c r="Q30" s="279">
        <v>7</v>
      </c>
      <c r="R30" s="279">
        <v>6</v>
      </c>
      <c r="S30" s="279">
        <v>5</v>
      </c>
      <c r="T30" s="279">
        <v>5</v>
      </c>
      <c r="U30" s="280">
        <v>8</v>
      </c>
      <c r="V30" s="279">
        <v>7</v>
      </c>
      <c r="W30" s="279">
        <v>6</v>
      </c>
      <c r="X30" s="279">
        <v>5</v>
      </c>
      <c r="Y30" s="279">
        <v>5</v>
      </c>
      <c r="Z30" s="280">
        <v>8</v>
      </c>
      <c r="AA30" s="279">
        <v>1</v>
      </c>
      <c r="AB30" s="279">
        <v>6</v>
      </c>
      <c r="AC30" s="279">
        <v>1</v>
      </c>
      <c r="AD30" s="279" t="s">
        <v>41</v>
      </c>
      <c r="AE30" s="279" t="s">
        <v>41</v>
      </c>
      <c r="AF30" s="279" t="s">
        <v>41</v>
      </c>
      <c r="AG30" s="279" t="s">
        <v>41</v>
      </c>
      <c r="AH30" s="279" t="s">
        <v>41</v>
      </c>
      <c r="AI30" s="279">
        <v>8</v>
      </c>
      <c r="AJ30" s="279" t="s">
        <v>41</v>
      </c>
      <c r="AK30" s="280">
        <v>2</v>
      </c>
      <c r="AL30" s="279">
        <v>3</v>
      </c>
      <c r="AM30" s="279">
        <v>3</v>
      </c>
      <c r="AN30" s="280">
        <v>3</v>
      </c>
      <c r="AO30" s="281">
        <v>500000</v>
      </c>
      <c r="AP30" s="280" t="s">
        <v>45</v>
      </c>
      <c r="AQ30" s="282">
        <f t="shared" si="7"/>
        <v>5.666666666666667</v>
      </c>
      <c r="AR30" s="283" t="str">
        <f t="shared" si="8"/>
        <v>Reg</v>
      </c>
      <c r="AS30" s="282">
        <f t="shared" si="9"/>
        <v>5.666666666666667</v>
      </c>
      <c r="AT30" s="282" t="str">
        <f t="shared" si="10"/>
        <v>Reg</v>
      </c>
      <c r="AU30" s="283">
        <f t="shared" si="11"/>
        <v>5.666666666666667</v>
      </c>
      <c r="AV30" s="283" t="str">
        <f t="shared" si="12"/>
        <v>Reg</v>
      </c>
      <c r="AW30" s="284">
        <f t="shared" si="13"/>
        <v>0</v>
      </c>
      <c r="AX30" s="285">
        <f t="shared" si="14"/>
        <v>1</v>
      </c>
      <c r="AY30" s="285">
        <f t="shared" si="15"/>
        <v>0</v>
      </c>
      <c r="AZ30" s="285">
        <f t="shared" si="16"/>
        <v>0</v>
      </c>
      <c r="BA30" s="285">
        <f t="shared" si="17"/>
        <v>0</v>
      </c>
      <c r="BB30" s="285">
        <f t="shared" si="18"/>
        <v>1</v>
      </c>
      <c r="BC30" s="285">
        <f t="shared" si="19"/>
        <v>1</v>
      </c>
      <c r="BD30" s="285">
        <f t="shared" si="20"/>
        <v>1</v>
      </c>
      <c r="BE30" s="280">
        <f t="shared" si="21"/>
        <v>1</v>
      </c>
      <c r="BF30" s="284">
        <f t="shared" si="22"/>
        <v>0</v>
      </c>
      <c r="BG30" s="285">
        <f t="shared" si="23"/>
        <v>1</v>
      </c>
      <c r="BH30" s="285">
        <f t="shared" si="24"/>
        <v>0</v>
      </c>
      <c r="BI30" s="285">
        <f t="shared" si="25"/>
        <v>0</v>
      </c>
      <c r="BJ30" s="285">
        <f t="shared" si="26"/>
        <v>0</v>
      </c>
      <c r="BK30" s="285">
        <f t="shared" si="27"/>
        <v>1</v>
      </c>
      <c r="BL30" s="285">
        <f t="shared" si="28"/>
        <v>1</v>
      </c>
      <c r="BM30" s="285">
        <f t="shared" si="29"/>
        <v>1</v>
      </c>
      <c r="BN30" s="280">
        <f t="shared" si="30"/>
        <v>1</v>
      </c>
      <c r="BO30" s="280">
        <f t="shared" si="31"/>
        <v>0</v>
      </c>
      <c r="BP30" s="286">
        <f t="shared" si="32"/>
        <v>2</v>
      </c>
      <c r="BQ30" s="279" t="str">
        <f t="shared" si="33"/>
        <v/>
      </c>
      <c r="BR30" s="278" t="str">
        <f t="shared" si="34"/>
        <v>Possible</v>
      </c>
      <c r="BS30" s="279" t="str">
        <f t="shared" si="35"/>
        <v>Bench</v>
      </c>
      <c r="BT30" s="279" t="str">
        <f t="shared" si="36"/>
        <v>Bench</v>
      </c>
      <c r="BU30" s="279" t="str">
        <f t="shared" si="37"/>
        <v>ML</v>
      </c>
      <c r="BV30" s="279">
        <f t="shared" si="38"/>
        <v>0</v>
      </c>
      <c r="BW30" s="279">
        <f t="shared" si="39"/>
        <v>0</v>
      </c>
      <c r="BX30" s="279">
        <f t="shared" si="40"/>
        <v>0</v>
      </c>
      <c r="BY30" s="279">
        <f t="shared" si="41"/>
        <v>0</v>
      </c>
      <c r="BZ30" s="279">
        <f t="shared" si="42"/>
        <v>0</v>
      </c>
      <c r="CA30" s="279">
        <f t="shared" si="43"/>
        <v>0</v>
      </c>
      <c r="CB30" s="279">
        <f t="shared" si="44"/>
        <v>17</v>
      </c>
      <c r="CC30" s="279">
        <f t="shared" si="45"/>
        <v>12</v>
      </c>
      <c r="CD30" s="279">
        <f t="shared" si="46"/>
        <v>12</v>
      </c>
      <c r="CE30" s="279" t="str">
        <f t="shared" si="47"/>
        <v>Now - Age</v>
      </c>
      <c r="CF30" s="294" t="str">
        <f t="shared" si="48"/>
        <v/>
      </c>
      <c r="CG30" s="294" t="str">
        <f t="shared" si="49"/>
        <v/>
      </c>
      <c r="CH30" s="294" t="str">
        <f t="shared" si="50"/>
        <v/>
      </c>
      <c r="CI30" s="294" t="str">
        <f t="shared" si="51"/>
        <v/>
      </c>
      <c r="CJ30" s="294" t="str">
        <f t="shared" si="57"/>
        <v/>
      </c>
      <c r="CK30" s="294" t="str">
        <f t="shared" si="53"/>
        <v>X</v>
      </c>
      <c r="CL30" s="294" t="str">
        <f t="shared" si="54"/>
        <v/>
      </c>
      <c r="CM30" s="294" t="str">
        <f t="shared" si="55"/>
        <v/>
      </c>
      <c r="CN30" s="294" t="str">
        <f t="shared" si="56"/>
        <v/>
      </c>
    </row>
    <row r="31" spans="1:92">
      <c r="A31" s="277" t="str">
        <f>IF(ISERROR(VLOOKUP(G31,CON!$C$3:$C$24,1,FALSE)),IF(ISERROR(VLOOKUP(G31,'PSP-AAA'!$C$6:$C$33,1,FALSE)),IF(ISERROR(VLOOKUP(G31,'NH-AA'!$C$6:$C$33,1,FALSE)),IF(ISERROR(VLOOKUP(G31,'CRG-A'!$C$6:$C$33,1,FALSE)),IF(ISERROR(VLOOKUP(G31,'PC-S A'!$C$6:$C$33,1,FALSE)),"","S A"),"A"),"AA"),"AAA"),"ML")</f>
        <v>AAA</v>
      </c>
      <c r="B31" s="278"/>
      <c r="C31" s="279">
        <f t="shared" si="4"/>
        <v>8</v>
      </c>
      <c r="D31" s="279">
        <f t="shared" si="5"/>
        <v>8</v>
      </c>
      <c r="E31" s="279" t="str">
        <f t="shared" si="6"/>
        <v>K</v>
      </c>
      <c r="F31" s="279" t="s">
        <v>99</v>
      </c>
      <c r="G31" s="279" t="s">
        <v>389</v>
      </c>
      <c r="H31" s="279" t="s">
        <v>372</v>
      </c>
      <c r="I31" s="279" t="s">
        <v>209</v>
      </c>
      <c r="J31" s="279">
        <v>25</v>
      </c>
      <c r="K31" s="279" t="s">
        <v>103</v>
      </c>
      <c r="L31" s="279" t="s">
        <v>104</v>
      </c>
      <c r="M31" s="279" t="s">
        <v>47</v>
      </c>
      <c r="N31" s="280" t="s">
        <v>47</v>
      </c>
      <c r="O31" s="279" t="s">
        <v>224</v>
      </c>
      <c r="P31" s="280" t="s">
        <v>224</v>
      </c>
      <c r="Q31" s="279">
        <v>6</v>
      </c>
      <c r="R31" s="279">
        <v>7</v>
      </c>
      <c r="S31" s="279">
        <v>5</v>
      </c>
      <c r="T31" s="279">
        <v>5</v>
      </c>
      <c r="U31" s="280">
        <v>5</v>
      </c>
      <c r="V31" s="279">
        <v>6</v>
      </c>
      <c r="W31" s="279">
        <v>7</v>
      </c>
      <c r="X31" s="279">
        <v>5</v>
      </c>
      <c r="Y31" s="279">
        <v>6</v>
      </c>
      <c r="Z31" s="280">
        <v>5</v>
      </c>
      <c r="AA31" s="279">
        <v>1</v>
      </c>
      <c r="AB31" s="279">
        <v>8</v>
      </c>
      <c r="AC31" s="279">
        <v>1</v>
      </c>
      <c r="AD31" s="279" t="s">
        <v>41</v>
      </c>
      <c r="AE31" s="279" t="s">
        <v>41</v>
      </c>
      <c r="AF31" s="279" t="s">
        <v>41</v>
      </c>
      <c r="AG31" s="279" t="s">
        <v>41</v>
      </c>
      <c r="AH31" s="279" t="s">
        <v>41</v>
      </c>
      <c r="AI31" s="279">
        <v>5</v>
      </c>
      <c r="AJ31" s="279">
        <v>8</v>
      </c>
      <c r="AK31" s="280">
        <v>7</v>
      </c>
      <c r="AL31" s="279">
        <v>6</v>
      </c>
      <c r="AM31" s="279">
        <v>9</v>
      </c>
      <c r="AN31" s="280">
        <v>7</v>
      </c>
      <c r="AO31" s="281" t="s">
        <v>41</v>
      </c>
      <c r="AP31" s="280">
        <v>0</v>
      </c>
      <c r="AQ31" s="282">
        <f t="shared" si="7"/>
        <v>5.333333333333333</v>
      </c>
      <c r="AR31" s="283" t="str">
        <f t="shared" si="8"/>
        <v>Reg</v>
      </c>
      <c r="AS31" s="282">
        <f t="shared" si="9"/>
        <v>6.166666666666667</v>
      </c>
      <c r="AT31" s="282" t="str">
        <f t="shared" si="10"/>
        <v>Reg</v>
      </c>
      <c r="AU31" s="283">
        <f t="shared" si="11"/>
        <v>5.333333333333333</v>
      </c>
      <c r="AV31" s="283" t="str">
        <f t="shared" si="12"/>
        <v>Reg</v>
      </c>
      <c r="AW31" s="284">
        <f t="shared" si="13"/>
        <v>0</v>
      </c>
      <c r="AX31" s="285">
        <f t="shared" si="14"/>
        <v>0</v>
      </c>
      <c r="AY31" s="285">
        <f t="shared" si="15"/>
        <v>0</v>
      </c>
      <c r="AZ31" s="285">
        <f t="shared" si="16"/>
        <v>0</v>
      </c>
      <c r="BA31" s="285">
        <f t="shared" si="17"/>
        <v>0</v>
      </c>
      <c r="BB31" s="285">
        <f t="shared" si="18"/>
        <v>0</v>
      </c>
      <c r="BC31" s="285">
        <f t="shared" si="19"/>
        <v>0</v>
      </c>
      <c r="BD31" s="285">
        <f t="shared" si="20"/>
        <v>1</v>
      </c>
      <c r="BE31" s="280">
        <f t="shared" si="21"/>
        <v>1</v>
      </c>
      <c r="BF31" s="284">
        <f t="shared" si="22"/>
        <v>0</v>
      </c>
      <c r="BG31" s="285">
        <f t="shared" si="23"/>
        <v>0</v>
      </c>
      <c r="BH31" s="285">
        <f t="shared" si="24"/>
        <v>0</v>
      </c>
      <c r="BI31" s="285">
        <f t="shared" si="25"/>
        <v>0</v>
      </c>
      <c r="BJ31" s="285">
        <f t="shared" si="26"/>
        <v>0</v>
      </c>
      <c r="BK31" s="285">
        <f t="shared" si="27"/>
        <v>0</v>
      </c>
      <c r="BL31" s="285">
        <f t="shared" si="28"/>
        <v>0</v>
      </c>
      <c r="BM31" s="285">
        <f t="shared" si="29"/>
        <v>1</v>
      </c>
      <c r="BN31" s="280">
        <f t="shared" si="30"/>
        <v>1</v>
      </c>
      <c r="BO31" s="280">
        <f t="shared" si="31"/>
        <v>3</v>
      </c>
      <c r="BP31" s="286">
        <f t="shared" si="32"/>
        <v>2</v>
      </c>
      <c r="BQ31" s="279" t="str">
        <f t="shared" si="33"/>
        <v/>
      </c>
      <c r="BR31" s="278" t="str">
        <f t="shared" si="34"/>
        <v>Possible</v>
      </c>
      <c r="BS31" s="279" t="str">
        <f t="shared" si="35"/>
        <v>Bench</v>
      </c>
      <c r="BT31" s="279" t="str">
        <f t="shared" si="36"/>
        <v>Bench</v>
      </c>
      <c r="BU31" s="279" t="str">
        <f t="shared" si="37"/>
        <v>ML</v>
      </c>
      <c r="BV31" s="279">
        <f t="shared" si="38"/>
        <v>0</v>
      </c>
      <c r="BW31" s="279">
        <f t="shared" si="39"/>
        <v>0</v>
      </c>
      <c r="BX31" s="279">
        <f t="shared" si="40"/>
        <v>0</v>
      </c>
      <c r="BY31" s="279">
        <f t="shared" si="41"/>
        <v>-1</v>
      </c>
      <c r="BZ31" s="279">
        <f t="shared" si="42"/>
        <v>0</v>
      </c>
      <c r="CA31" s="279">
        <f t="shared" si="43"/>
        <v>-1</v>
      </c>
      <c r="CB31" s="279">
        <f t="shared" si="44"/>
        <v>17</v>
      </c>
      <c r="CC31" s="279">
        <f t="shared" si="45"/>
        <v>11</v>
      </c>
      <c r="CD31" s="279">
        <f t="shared" si="46"/>
        <v>12</v>
      </c>
      <c r="CE31" s="279" t="str">
        <f t="shared" si="47"/>
        <v>Now - Age</v>
      </c>
      <c r="CF31" s="294" t="str">
        <f t="shared" si="48"/>
        <v/>
      </c>
      <c r="CG31" s="294" t="str">
        <f t="shared" si="49"/>
        <v/>
      </c>
      <c r="CH31" s="294" t="str">
        <f t="shared" si="50"/>
        <v/>
      </c>
      <c r="CI31" s="294" t="str">
        <f t="shared" si="51"/>
        <v/>
      </c>
      <c r="CJ31" s="294" t="str">
        <f t="shared" si="57"/>
        <v/>
      </c>
      <c r="CK31" s="294" t="str">
        <f t="shared" si="53"/>
        <v>X</v>
      </c>
      <c r="CL31" s="294" t="str">
        <f t="shared" si="54"/>
        <v>X</v>
      </c>
      <c r="CM31" s="294" t="str">
        <f t="shared" si="55"/>
        <v>X</v>
      </c>
      <c r="CN31" s="294" t="str">
        <f t="shared" si="56"/>
        <v/>
      </c>
    </row>
    <row r="32" spans="1:92">
      <c r="A32" s="277" t="str">
        <f>IF(ISERROR(VLOOKUP(G32,CON!$C$3:$C$24,1,FALSE)),IF(ISERROR(VLOOKUP(G32,'PSP-AAA'!$C$6:$C$33,1,FALSE)),IF(ISERROR(VLOOKUP(G32,'NH-AA'!$C$6:$C$33,1,FALSE)),IF(ISERROR(VLOOKUP(G32,'CRG-A'!$C$6:$C$33,1,FALSE)),IF(ISERROR(VLOOKUP(G32,'PC-S A'!$C$6:$C$33,1,FALSE)),"","S A"),"A"),"AA"),"AAA"),"ML")</f>
        <v>ML</v>
      </c>
      <c r="B32" s="278"/>
      <c r="C32" s="279">
        <f t="shared" si="4"/>
        <v>5</v>
      </c>
      <c r="D32" s="279">
        <f t="shared" si="5"/>
        <v>6</v>
      </c>
      <c r="E32" s="279" t="str">
        <f t="shared" si="6"/>
        <v>T</v>
      </c>
      <c r="F32" s="279" t="s">
        <v>96</v>
      </c>
      <c r="G32" s="279" t="s">
        <v>386</v>
      </c>
      <c r="H32" s="279" t="s">
        <v>371</v>
      </c>
      <c r="I32" s="279" t="s">
        <v>208</v>
      </c>
      <c r="J32" s="279">
        <v>24</v>
      </c>
      <c r="K32" s="279" t="s">
        <v>104</v>
      </c>
      <c r="L32" s="279" t="s">
        <v>104</v>
      </c>
      <c r="M32" s="279" t="s">
        <v>47</v>
      </c>
      <c r="N32" s="280" t="s">
        <v>40</v>
      </c>
      <c r="O32" s="279" t="s">
        <v>225</v>
      </c>
      <c r="P32" s="280" t="s">
        <v>226</v>
      </c>
      <c r="Q32" s="279">
        <v>7</v>
      </c>
      <c r="R32" s="279">
        <v>5</v>
      </c>
      <c r="S32" s="279">
        <v>5</v>
      </c>
      <c r="T32" s="279">
        <v>3</v>
      </c>
      <c r="U32" s="280">
        <v>4</v>
      </c>
      <c r="V32" s="279">
        <v>8</v>
      </c>
      <c r="W32" s="279">
        <v>5</v>
      </c>
      <c r="X32" s="279">
        <v>7</v>
      </c>
      <c r="Y32" s="279">
        <v>5</v>
      </c>
      <c r="Z32" s="280">
        <v>5</v>
      </c>
      <c r="AA32" s="279">
        <v>9</v>
      </c>
      <c r="AB32" s="279">
        <v>9</v>
      </c>
      <c r="AC32" s="279">
        <v>1</v>
      </c>
      <c r="AD32" s="279" t="s">
        <v>41</v>
      </c>
      <c r="AE32" s="279">
        <v>7</v>
      </c>
      <c r="AF32" s="279" t="s">
        <v>41</v>
      </c>
      <c r="AG32" s="279">
        <v>8</v>
      </c>
      <c r="AH32" s="279" t="s">
        <v>41</v>
      </c>
      <c r="AI32" s="279">
        <v>4</v>
      </c>
      <c r="AJ32" s="279">
        <v>2</v>
      </c>
      <c r="AK32" s="280">
        <v>4</v>
      </c>
      <c r="AL32" s="279">
        <v>2</v>
      </c>
      <c r="AM32" s="279">
        <v>5</v>
      </c>
      <c r="AN32" s="280">
        <v>3</v>
      </c>
      <c r="AO32" s="281" t="s">
        <v>41</v>
      </c>
      <c r="AP32" s="280">
        <v>0</v>
      </c>
      <c r="AQ32" s="282">
        <f t="shared" si="7"/>
        <v>5</v>
      </c>
      <c r="AR32" s="283" t="str">
        <f t="shared" si="8"/>
        <v>Bench</v>
      </c>
      <c r="AS32" s="282">
        <f t="shared" si="9"/>
        <v>7.166666666666667</v>
      </c>
      <c r="AT32" s="282" t="str">
        <f t="shared" si="10"/>
        <v>GoodReg</v>
      </c>
      <c r="AU32" s="283">
        <f t="shared" si="11"/>
        <v>6</v>
      </c>
      <c r="AV32" s="283" t="str">
        <f t="shared" si="12"/>
        <v>Reg</v>
      </c>
      <c r="AW32" s="284">
        <f t="shared" si="13"/>
        <v>0</v>
      </c>
      <c r="AX32" s="285">
        <f t="shared" si="14"/>
        <v>0</v>
      </c>
      <c r="AY32" s="285">
        <f t="shared" si="15"/>
        <v>0</v>
      </c>
      <c r="AZ32" s="285">
        <f t="shared" si="16"/>
        <v>0</v>
      </c>
      <c r="BA32" s="285">
        <f t="shared" si="17"/>
        <v>0</v>
      </c>
      <c r="BB32" s="285">
        <f t="shared" si="18"/>
        <v>1</v>
      </c>
      <c r="BC32" s="285">
        <f t="shared" si="19"/>
        <v>1</v>
      </c>
      <c r="BD32" s="285">
        <f t="shared" si="20"/>
        <v>1</v>
      </c>
      <c r="BE32" s="280">
        <f t="shared" si="21"/>
        <v>1</v>
      </c>
      <c r="BF32" s="284">
        <f t="shared" si="22"/>
        <v>0</v>
      </c>
      <c r="BG32" s="285">
        <f t="shared" si="23"/>
        <v>1</v>
      </c>
      <c r="BH32" s="285">
        <f t="shared" si="24"/>
        <v>0</v>
      </c>
      <c r="BI32" s="285">
        <f t="shared" si="25"/>
        <v>0</v>
      </c>
      <c r="BJ32" s="285">
        <f t="shared" si="26"/>
        <v>1</v>
      </c>
      <c r="BK32" s="285">
        <f t="shared" si="27"/>
        <v>1</v>
      </c>
      <c r="BL32" s="285">
        <f t="shared" si="28"/>
        <v>1</v>
      </c>
      <c r="BM32" s="285">
        <f t="shared" si="29"/>
        <v>1</v>
      </c>
      <c r="BN32" s="280">
        <f t="shared" si="30"/>
        <v>1</v>
      </c>
      <c r="BO32" s="280">
        <f t="shared" si="31"/>
        <v>0</v>
      </c>
      <c r="BP32" s="286">
        <f t="shared" si="32"/>
        <v>2</v>
      </c>
      <c r="BQ32" s="279" t="str">
        <f t="shared" si="33"/>
        <v/>
      </c>
      <c r="BR32" s="278" t="str">
        <f t="shared" si="34"/>
        <v>There</v>
      </c>
      <c r="BS32" s="279" t="str">
        <f t="shared" si="35"/>
        <v>Bench</v>
      </c>
      <c r="BT32" s="279" t="str">
        <f t="shared" si="36"/>
        <v>Start</v>
      </c>
      <c r="BU32" s="279" t="str">
        <f t="shared" si="37"/>
        <v>ML</v>
      </c>
      <c r="BV32" s="279">
        <f t="shared" si="38"/>
        <v>-1</v>
      </c>
      <c r="BW32" s="279">
        <f t="shared" si="39"/>
        <v>0</v>
      </c>
      <c r="BX32" s="279">
        <f t="shared" si="40"/>
        <v>-2</v>
      </c>
      <c r="BY32" s="279">
        <f t="shared" si="41"/>
        <v>-2</v>
      </c>
      <c r="BZ32" s="279">
        <f t="shared" si="42"/>
        <v>-1</v>
      </c>
      <c r="CA32" s="279">
        <f t="shared" si="43"/>
        <v>-6</v>
      </c>
      <c r="CB32" s="279">
        <f t="shared" si="44"/>
        <v>20</v>
      </c>
      <c r="CC32" s="279">
        <f t="shared" si="45"/>
        <v>15</v>
      </c>
      <c r="CD32" s="279">
        <f t="shared" si="46"/>
        <v>13</v>
      </c>
      <c r="CE32" s="279" t="str">
        <f t="shared" si="47"/>
        <v>Now</v>
      </c>
      <c r="CF32" s="294" t="str">
        <f t="shared" si="48"/>
        <v/>
      </c>
      <c r="CG32" s="294" t="str">
        <f t="shared" si="49"/>
        <v>X</v>
      </c>
      <c r="CH32" s="294" t="str">
        <f t="shared" si="50"/>
        <v/>
      </c>
      <c r="CI32" s="294" t="str">
        <f t="shared" si="51"/>
        <v>X</v>
      </c>
      <c r="CJ32" s="294" t="str">
        <f t="shared" si="57"/>
        <v/>
      </c>
      <c r="CK32" s="294" t="str">
        <f t="shared" si="53"/>
        <v>X</v>
      </c>
      <c r="CL32" s="294" t="str">
        <f t="shared" si="54"/>
        <v/>
      </c>
      <c r="CM32" s="294" t="str">
        <f t="shared" si="55"/>
        <v/>
      </c>
      <c r="CN32" s="294" t="str">
        <f t="shared" si="56"/>
        <v/>
      </c>
    </row>
    <row r="33" spans="1:92">
      <c r="A33" s="277" t="str">
        <f>IF(ISERROR(VLOOKUP(G33,CON!$C$3:$C$24,1,FALSE)),IF(ISERROR(VLOOKUP(G33,'PSP-AAA'!$C$6:$C$33,1,FALSE)),IF(ISERROR(VLOOKUP(G33,'NH-AA'!$C$6:$C$33,1,FALSE)),IF(ISERROR(VLOOKUP(G33,'CRG-A'!$C$6:$C$33,1,FALSE)),IF(ISERROR(VLOOKUP(G33,'PC-S A'!$C$6:$C$33,1,FALSE)),"","S A"),"A"),"AA"),"AAA"),"ML")</f>
        <v>AA</v>
      </c>
      <c r="B33" s="278"/>
      <c r="C33" s="279">
        <f t="shared" si="4"/>
        <v>2</v>
      </c>
      <c r="D33" s="279">
        <f t="shared" si="5"/>
        <v>9</v>
      </c>
      <c r="E33" s="279" t="str">
        <f t="shared" si="6"/>
        <v>K</v>
      </c>
      <c r="F33" s="279" t="s">
        <v>100</v>
      </c>
      <c r="G33" s="279" t="s">
        <v>241</v>
      </c>
      <c r="H33" s="279" t="s">
        <v>372</v>
      </c>
      <c r="I33" s="279" t="s">
        <v>209</v>
      </c>
      <c r="J33" s="279">
        <v>23</v>
      </c>
      <c r="K33" s="279" t="s">
        <v>104</v>
      </c>
      <c r="L33" s="279" t="s">
        <v>104</v>
      </c>
      <c r="M33" s="279" t="s">
        <v>47</v>
      </c>
      <c r="N33" s="280" t="s">
        <v>47</v>
      </c>
      <c r="O33" s="279" t="s">
        <v>223</v>
      </c>
      <c r="P33" s="280" t="s">
        <v>223</v>
      </c>
      <c r="Q33" s="279">
        <v>6</v>
      </c>
      <c r="R33" s="279">
        <v>5</v>
      </c>
      <c r="S33" s="279">
        <v>4</v>
      </c>
      <c r="T33" s="279">
        <v>5</v>
      </c>
      <c r="U33" s="280">
        <v>7</v>
      </c>
      <c r="V33" s="279">
        <v>7</v>
      </c>
      <c r="W33" s="279">
        <v>5</v>
      </c>
      <c r="X33" s="279">
        <v>4</v>
      </c>
      <c r="Y33" s="279">
        <v>6</v>
      </c>
      <c r="Z33" s="280">
        <v>7</v>
      </c>
      <c r="AA33" s="279">
        <v>1</v>
      </c>
      <c r="AB33" s="279">
        <v>6</v>
      </c>
      <c r="AC33" s="279">
        <v>1</v>
      </c>
      <c r="AD33" s="279" t="s">
        <v>41</v>
      </c>
      <c r="AE33" s="279">
        <v>1</v>
      </c>
      <c r="AF33" s="279" t="s">
        <v>41</v>
      </c>
      <c r="AG33" s="279" t="s">
        <v>41</v>
      </c>
      <c r="AH33" s="279" t="s">
        <v>41</v>
      </c>
      <c r="AI33" s="279">
        <v>3</v>
      </c>
      <c r="AJ33" s="279">
        <v>1</v>
      </c>
      <c r="AK33" s="280">
        <v>4</v>
      </c>
      <c r="AL33" s="279">
        <v>4</v>
      </c>
      <c r="AM33" s="279">
        <v>4</v>
      </c>
      <c r="AN33" s="280">
        <v>4</v>
      </c>
      <c r="AO33" s="281" t="s">
        <v>41</v>
      </c>
      <c r="AP33" s="280">
        <v>0</v>
      </c>
      <c r="AQ33" s="282">
        <f t="shared" si="7"/>
        <v>5</v>
      </c>
      <c r="AR33" s="283" t="str">
        <f t="shared" si="8"/>
        <v>Bench</v>
      </c>
      <c r="AS33" s="282">
        <f t="shared" si="9"/>
        <v>6.166666666666667</v>
      </c>
      <c r="AT33" s="282" t="str">
        <f t="shared" si="10"/>
        <v>Reg</v>
      </c>
      <c r="AU33" s="283">
        <f t="shared" si="11"/>
        <v>6.166666666666667</v>
      </c>
      <c r="AV33" s="283" t="str">
        <f t="shared" si="12"/>
        <v>Reg</v>
      </c>
      <c r="AW33" s="284">
        <f t="shared" si="13"/>
        <v>0</v>
      </c>
      <c r="AX33" s="285">
        <f t="shared" si="14"/>
        <v>0</v>
      </c>
      <c r="AY33" s="285">
        <f t="shared" si="15"/>
        <v>0</v>
      </c>
      <c r="AZ33" s="285">
        <f t="shared" si="16"/>
        <v>0</v>
      </c>
      <c r="BA33" s="285">
        <f t="shared" si="17"/>
        <v>0</v>
      </c>
      <c r="BB33" s="285">
        <f t="shared" si="18"/>
        <v>0</v>
      </c>
      <c r="BC33" s="285">
        <f t="shared" si="19"/>
        <v>0</v>
      </c>
      <c r="BD33" s="285">
        <f t="shared" si="20"/>
        <v>0</v>
      </c>
      <c r="BE33" s="280">
        <f t="shared" si="21"/>
        <v>1</v>
      </c>
      <c r="BF33" s="284">
        <f t="shared" si="22"/>
        <v>0</v>
      </c>
      <c r="BG33" s="285">
        <f t="shared" si="23"/>
        <v>1</v>
      </c>
      <c r="BH33" s="285">
        <f t="shared" si="24"/>
        <v>0</v>
      </c>
      <c r="BI33" s="285">
        <f t="shared" si="25"/>
        <v>0</v>
      </c>
      <c r="BJ33" s="285">
        <f t="shared" si="26"/>
        <v>0</v>
      </c>
      <c r="BK33" s="285">
        <f t="shared" si="27"/>
        <v>1</v>
      </c>
      <c r="BL33" s="285">
        <f t="shared" si="28"/>
        <v>1</v>
      </c>
      <c r="BM33" s="285">
        <f t="shared" si="29"/>
        <v>1</v>
      </c>
      <c r="BN33" s="280">
        <f t="shared" si="30"/>
        <v>1</v>
      </c>
      <c r="BO33" s="280">
        <f t="shared" si="31"/>
        <v>0</v>
      </c>
      <c r="BP33" s="286">
        <f t="shared" si="32"/>
        <v>0</v>
      </c>
      <c r="BQ33" s="279" t="str">
        <f t="shared" si="33"/>
        <v/>
      </c>
      <c r="BR33" s="278" t="str">
        <f t="shared" si="34"/>
        <v>Possible</v>
      </c>
      <c r="BS33" s="279" t="str">
        <f t="shared" si="35"/>
        <v>Bench</v>
      </c>
      <c r="BT33" s="279" t="str">
        <f t="shared" si="36"/>
        <v>Bench</v>
      </c>
      <c r="BU33" s="279" t="str">
        <f t="shared" si="37"/>
        <v>ML</v>
      </c>
      <c r="BV33" s="279">
        <f t="shared" si="38"/>
        <v>-1</v>
      </c>
      <c r="BW33" s="279">
        <f t="shared" si="39"/>
        <v>0</v>
      </c>
      <c r="BX33" s="279">
        <f t="shared" si="40"/>
        <v>0</v>
      </c>
      <c r="BY33" s="279">
        <f t="shared" si="41"/>
        <v>-1</v>
      </c>
      <c r="BZ33" s="279">
        <f t="shared" si="42"/>
        <v>0</v>
      </c>
      <c r="CA33" s="279">
        <f t="shared" si="43"/>
        <v>-2</v>
      </c>
      <c r="CB33" s="279">
        <f t="shared" si="44"/>
        <v>17</v>
      </c>
      <c r="CC33" s="279">
        <f t="shared" si="45"/>
        <v>11</v>
      </c>
      <c r="CD33" s="279">
        <f t="shared" si="46"/>
        <v>13</v>
      </c>
      <c r="CE33" s="279">
        <f t="shared" si="47"/>
        <v>1</v>
      </c>
      <c r="CF33" s="294" t="str">
        <f t="shared" si="48"/>
        <v/>
      </c>
      <c r="CG33" s="294" t="str">
        <f t="shared" si="49"/>
        <v/>
      </c>
      <c r="CH33" s="294" t="str">
        <f t="shared" si="50"/>
        <v/>
      </c>
      <c r="CI33" s="294" t="str">
        <f t="shared" si="51"/>
        <v/>
      </c>
      <c r="CJ33" s="294" t="str">
        <f t="shared" si="57"/>
        <v/>
      </c>
      <c r="CK33" s="294" t="str">
        <f t="shared" si="53"/>
        <v/>
      </c>
      <c r="CL33" s="294" t="str">
        <f t="shared" si="54"/>
        <v/>
      </c>
      <c r="CM33" s="294" t="str">
        <f t="shared" si="55"/>
        <v/>
      </c>
      <c r="CN33" s="294" t="str">
        <f t="shared" si="56"/>
        <v>X</v>
      </c>
    </row>
    <row r="34" spans="1:92">
      <c r="A34" s="277" t="str">
        <f>IF(ISERROR(VLOOKUP(G34,CON!$C$3:$C$24,1,FALSE)),IF(ISERROR(VLOOKUP(G34,'PSP-AAA'!$C$6:$C$33,1,FALSE)),IF(ISERROR(VLOOKUP(G34,'NH-AA'!$C$6:$C$33,1,FALSE)),IF(ISERROR(VLOOKUP(G34,'CRG-A'!$C$6:$C$33,1,FALSE)),IF(ISERROR(VLOOKUP(G34,'PC-S A'!$C$6:$C$33,1,FALSE)),"","S A"),"A"),"AA"),"AAA"),"ML")</f>
        <v/>
      </c>
      <c r="B34" s="278"/>
      <c r="C34" s="279">
        <f t="shared" si="4"/>
        <v>7</v>
      </c>
      <c r="D34" s="279">
        <f t="shared" si="5"/>
        <v>7</v>
      </c>
      <c r="E34" s="279" t="str">
        <f t="shared" si="6"/>
        <v>T</v>
      </c>
      <c r="F34" s="279" t="s">
        <v>92</v>
      </c>
      <c r="G34" s="279" t="s">
        <v>295</v>
      </c>
      <c r="H34" s="279" t="s">
        <v>371</v>
      </c>
      <c r="I34" s="279" t="s">
        <v>208</v>
      </c>
      <c r="J34" s="279">
        <v>25</v>
      </c>
      <c r="K34" s="279" t="s">
        <v>106</v>
      </c>
      <c r="L34" s="279" t="s">
        <v>104</v>
      </c>
      <c r="M34" s="279" t="s">
        <v>47</v>
      </c>
      <c r="N34" s="280" t="s">
        <v>47</v>
      </c>
      <c r="O34" s="279" t="s">
        <v>226</v>
      </c>
      <c r="P34" s="280" t="s">
        <v>226</v>
      </c>
      <c r="Q34" s="279">
        <v>5</v>
      </c>
      <c r="R34" s="279">
        <v>6</v>
      </c>
      <c r="S34" s="279">
        <v>4</v>
      </c>
      <c r="T34" s="279">
        <v>7</v>
      </c>
      <c r="U34" s="280">
        <v>6</v>
      </c>
      <c r="V34" s="279">
        <v>5</v>
      </c>
      <c r="W34" s="279">
        <v>6</v>
      </c>
      <c r="X34" s="279">
        <v>4</v>
      </c>
      <c r="Y34" s="279">
        <v>7</v>
      </c>
      <c r="Z34" s="280">
        <v>6</v>
      </c>
      <c r="AA34" s="279">
        <v>4</v>
      </c>
      <c r="AB34" s="279">
        <v>4</v>
      </c>
      <c r="AC34" s="279">
        <v>6</v>
      </c>
      <c r="AD34" s="279">
        <v>5</v>
      </c>
      <c r="AE34" s="279" t="s">
        <v>41</v>
      </c>
      <c r="AF34" s="279" t="s">
        <v>41</v>
      </c>
      <c r="AG34" s="279" t="s">
        <v>41</v>
      </c>
      <c r="AH34" s="279" t="s">
        <v>41</v>
      </c>
      <c r="AI34" s="279" t="s">
        <v>41</v>
      </c>
      <c r="AJ34" s="279" t="s">
        <v>41</v>
      </c>
      <c r="AK34" s="280" t="s">
        <v>41</v>
      </c>
      <c r="AL34" s="279">
        <v>5</v>
      </c>
      <c r="AM34" s="279">
        <v>4</v>
      </c>
      <c r="AN34" s="280">
        <v>3</v>
      </c>
      <c r="AO34" s="281" t="s">
        <v>41</v>
      </c>
      <c r="AP34" s="280">
        <v>0</v>
      </c>
      <c r="AQ34" s="282">
        <f t="shared" si="7"/>
        <v>4.833333333333333</v>
      </c>
      <c r="AR34" s="283" t="str">
        <f t="shared" si="8"/>
        <v>Bench</v>
      </c>
      <c r="AS34" s="282">
        <f t="shared" si="9"/>
        <v>4.833333333333333</v>
      </c>
      <c r="AT34" s="282" t="str">
        <f t="shared" si="10"/>
        <v>Bench</v>
      </c>
      <c r="AU34" s="283">
        <f t="shared" si="11"/>
        <v>4.833333333333333</v>
      </c>
      <c r="AV34" s="283" t="str">
        <f t="shared" si="12"/>
        <v>Bench</v>
      </c>
      <c r="AW34" s="284">
        <f t="shared" si="13"/>
        <v>0</v>
      </c>
      <c r="AX34" s="285">
        <f t="shared" si="14"/>
        <v>0</v>
      </c>
      <c r="AY34" s="285">
        <f t="shared" si="15"/>
        <v>0</v>
      </c>
      <c r="AZ34" s="285">
        <f t="shared" si="16"/>
        <v>0</v>
      </c>
      <c r="BA34" s="285">
        <f t="shared" si="17"/>
        <v>0</v>
      </c>
      <c r="BB34" s="285">
        <f t="shared" si="18"/>
        <v>0</v>
      </c>
      <c r="BC34" s="285">
        <f t="shared" si="19"/>
        <v>1</v>
      </c>
      <c r="BD34" s="285">
        <f t="shared" si="20"/>
        <v>1</v>
      </c>
      <c r="BE34" s="280">
        <f t="shared" si="21"/>
        <v>1</v>
      </c>
      <c r="BF34" s="284">
        <f t="shared" si="22"/>
        <v>0</v>
      </c>
      <c r="BG34" s="285">
        <f t="shared" si="23"/>
        <v>0</v>
      </c>
      <c r="BH34" s="285">
        <f t="shared" si="24"/>
        <v>0</v>
      </c>
      <c r="BI34" s="285">
        <f t="shared" si="25"/>
        <v>0</v>
      </c>
      <c r="BJ34" s="285">
        <f t="shared" si="26"/>
        <v>0</v>
      </c>
      <c r="BK34" s="285">
        <f t="shared" si="27"/>
        <v>0</v>
      </c>
      <c r="BL34" s="285">
        <f t="shared" si="28"/>
        <v>1</v>
      </c>
      <c r="BM34" s="285">
        <f t="shared" si="29"/>
        <v>1</v>
      </c>
      <c r="BN34" s="280">
        <f t="shared" si="30"/>
        <v>1</v>
      </c>
      <c r="BO34" s="280">
        <f t="shared" si="31"/>
        <v>0</v>
      </c>
      <c r="BP34" s="286">
        <f t="shared" si="32"/>
        <v>1</v>
      </c>
      <c r="BQ34" s="279" t="str">
        <f t="shared" si="33"/>
        <v/>
      </c>
      <c r="BR34" s="278" t="str">
        <f t="shared" si="34"/>
        <v>Possible</v>
      </c>
      <c r="BS34" s="279" t="str">
        <f t="shared" si="35"/>
        <v>Bench</v>
      </c>
      <c r="BT34" s="279" t="str">
        <f t="shared" si="36"/>
        <v>Bench</v>
      </c>
      <c r="BU34" s="279" t="str">
        <f t="shared" si="37"/>
        <v>AAA</v>
      </c>
      <c r="BV34" s="279">
        <f t="shared" si="38"/>
        <v>0</v>
      </c>
      <c r="BW34" s="279">
        <f t="shared" si="39"/>
        <v>0</v>
      </c>
      <c r="BX34" s="279">
        <f t="shared" si="40"/>
        <v>0</v>
      </c>
      <c r="BY34" s="279">
        <f t="shared" si="41"/>
        <v>0</v>
      </c>
      <c r="BZ34" s="279">
        <f t="shared" si="42"/>
        <v>0</v>
      </c>
      <c r="CA34" s="279">
        <f t="shared" si="43"/>
        <v>0</v>
      </c>
      <c r="CB34" s="279">
        <f t="shared" si="44"/>
        <v>16</v>
      </c>
      <c r="CC34" s="279">
        <f t="shared" si="45"/>
        <v>9</v>
      </c>
      <c r="CD34" s="279">
        <f t="shared" si="46"/>
        <v>12</v>
      </c>
      <c r="CE34" s="279" t="str">
        <f t="shared" si="47"/>
        <v>Now - Age</v>
      </c>
      <c r="CF34" s="294" t="str">
        <f t="shared" si="48"/>
        <v>X</v>
      </c>
      <c r="CG34" s="294" t="str">
        <f t="shared" si="49"/>
        <v/>
      </c>
      <c r="CH34" s="294" t="str">
        <f t="shared" si="50"/>
        <v/>
      </c>
      <c r="CI34" s="294" t="str">
        <f t="shared" si="51"/>
        <v/>
      </c>
      <c r="CJ34" s="294" t="str">
        <f t="shared" si="57"/>
        <v/>
      </c>
      <c r="CK34" s="294" t="str">
        <f t="shared" si="53"/>
        <v/>
      </c>
      <c r="CL34" s="294" t="str">
        <f t="shared" si="54"/>
        <v/>
      </c>
      <c r="CM34" s="294" t="str">
        <f t="shared" si="55"/>
        <v/>
      </c>
      <c r="CN34" s="294" t="str">
        <f t="shared" si="56"/>
        <v/>
      </c>
    </row>
    <row r="35" spans="1:92">
      <c r="A35" s="277" t="str">
        <f>IF(ISERROR(VLOOKUP(G35,CON!$C$3:$C$24,1,FALSE)),IF(ISERROR(VLOOKUP(G35,'PSP-AAA'!$C$6:$C$33,1,FALSE)),IF(ISERROR(VLOOKUP(G35,'NH-AA'!$C$6:$C$33,1,FALSE)),IF(ISERROR(VLOOKUP(G35,'CRG-A'!$C$6:$C$33,1,FALSE)),IF(ISERROR(VLOOKUP(G35,'PC-S A'!$C$6:$C$33,1,FALSE)),"","S A"),"A"),"AA"),"AAA"),"ML")</f>
        <v>AA</v>
      </c>
      <c r="B35" s="278"/>
      <c r="C35" s="279">
        <f t="shared" si="4"/>
        <v>2</v>
      </c>
      <c r="D35" s="279" t="str">
        <f t="shared" si="5"/>
        <v>-</v>
      </c>
      <c r="E35" s="279" t="str">
        <f t="shared" si="6"/>
        <v>K</v>
      </c>
      <c r="F35" s="279" t="s">
        <v>94</v>
      </c>
      <c r="G35" s="279" t="s">
        <v>384</v>
      </c>
      <c r="H35" s="279" t="s">
        <v>373</v>
      </c>
      <c r="I35" s="279" t="s">
        <v>210</v>
      </c>
      <c r="J35" s="279">
        <v>21</v>
      </c>
      <c r="K35" s="279" t="s">
        <v>103</v>
      </c>
      <c r="L35" s="279" t="s">
        <v>104</v>
      </c>
      <c r="M35" s="279" t="s">
        <v>47</v>
      </c>
      <c r="N35" s="280" t="s">
        <v>47</v>
      </c>
      <c r="O35" s="279" t="s">
        <v>224</v>
      </c>
      <c r="P35" s="280" t="s">
        <v>223</v>
      </c>
      <c r="Q35" s="279">
        <v>6</v>
      </c>
      <c r="R35" s="279">
        <v>6</v>
      </c>
      <c r="S35" s="279">
        <v>3</v>
      </c>
      <c r="T35" s="279">
        <v>5</v>
      </c>
      <c r="U35" s="280">
        <v>3</v>
      </c>
      <c r="V35" s="279">
        <v>7</v>
      </c>
      <c r="W35" s="279">
        <v>6</v>
      </c>
      <c r="X35" s="279">
        <v>6</v>
      </c>
      <c r="Y35" s="279">
        <v>7</v>
      </c>
      <c r="Z35" s="280">
        <v>4</v>
      </c>
      <c r="AA35" s="279">
        <v>2</v>
      </c>
      <c r="AB35" s="279">
        <v>1</v>
      </c>
      <c r="AC35" s="279">
        <v>1</v>
      </c>
      <c r="AD35" s="279" t="s">
        <v>41</v>
      </c>
      <c r="AE35" s="279">
        <v>5</v>
      </c>
      <c r="AF35" s="279" t="s">
        <v>41</v>
      </c>
      <c r="AG35" s="279" t="s">
        <v>41</v>
      </c>
      <c r="AH35" s="279" t="s">
        <v>41</v>
      </c>
      <c r="AI35" s="279" t="s">
        <v>41</v>
      </c>
      <c r="AJ35" s="279" t="s">
        <v>41</v>
      </c>
      <c r="AK35" s="280" t="s">
        <v>41</v>
      </c>
      <c r="AL35" s="279">
        <v>1</v>
      </c>
      <c r="AM35" s="279">
        <v>2</v>
      </c>
      <c r="AN35" s="280">
        <v>3</v>
      </c>
      <c r="AO35" s="281" t="s">
        <v>41</v>
      </c>
      <c r="AP35" s="280">
        <v>0</v>
      </c>
      <c r="AQ35" s="282">
        <f t="shared" si="7"/>
        <v>4.666666666666667</v>
      </c>
      <c r="AR35" s="283" t="str">
        <f t="shared" si="8"/>
        <v>Bench</v>
      </c>
      <c r="AS35" s="282">
        <f t="shared" si="9"/>
        <v>7.166666666666667</v>
      </c>
      <c r="AT35" s="282" t="str">
        <f t="shared" si="10"/>
        <v>GoodReg</v>
      </c>
      <c r="AU35" s="283">
        <f t="shared" si="11"/>
        <v>7.166666666666667</v>
      </c>
      <c r="AV35" s="283" t="str">
        <f t="shared" si="12"/>
        <v>GoodReg</v>
      </c>
      <c r="AW35" s="284">
        <f t="shared" si="13"/>
        <v>0</v>
      </c>
      <c r="AX35" s="285">
        <f t="shared" si="14"/>
        <v>0</v>
      </c>
      <c r="AY35" s="285">
        <f t="shared" si="15"/>
        <v>0</v>
      </c>
      <c r="AZ35" s="285">
        <f t="shared" si="16"/>
        <v>0</v>
      </c>
      <c r="BA35" s="285">
        <f t="shared" si="17"/>
        <v>0</v>
      </c>
      <c r="BB35" s="285">
        <f t="shared" si="18"/>
        <v>0</v>
      </c>
      <c r="BC35" s="285">
        <f t="shared" si="19"/>
        <v>0</v>
      </c>
      <c r="BD35" s="285">
        <f t="shared" si="20"/>
        <v>0</v>
      </c>
      <c r="BE35" s="280">
        <f t="shared" si="21"/>
        <v>0</v>
      </c>
      <c r="BF35" s="284">
        <f t="shared" si="22"/>
        <v>0</v>
      </c>
      <c r="BG35" s="285">
        <f t="shared" si="23"/>
        <v>1</v>
      </c>
      <c r="BH35" s="285">
        <f t="shared" si="24"/>
        <v>0</v>
      </c>
      <c r="BI35" s="285">
        <f t="shared" si="25"/>
        <v>0</v>
      </c>
      <c r="BJ35" s="285">
        <f t="shared" si="26"/>
        <v>0</v>
      </c>
      <c r="BK35" s="285">
        <f t="shared" si="27"/>
        <v>1</v>
      </c>
      <c r="BL35" s="285">
        <f t="shared" si="28"/>
        <v>1</v>
      </c>
      <c r="BM35" s="285">
        <f t="shared" si="29"/>
        <v>1</v>
      </c>
      <c r="BN35" s="280">
        <f t="shared" si="30"/>
        <v>1</v>
      </c>
      <c r="BO35" s="280">
        <f t="shared" si="31"/>
        <v>0</v>
      </c>
      <c r="BP35" s="286">
        <f t="shared" si="32"/>
        <v>1</v>
      </c>
      <c r="BQ35" s="279" t="str">
        <f t="shared" si="33"/>
        <v/>
      </c>
      <c r="BR35" s="278" t="str">
        <f t="shared" si="34"/>
        <v>Likely</v>
      </c>
      <c r="BS35" s="279" t="str">
        <f t="shared" si="35"/>
        <v>Bench</v>
      </c>
      <c r="BT35" s="279" t="str">
        <f t="shared" si="36"/>
        <v>Start</v>
      </c>
      <c r="BU35" s="279" t="str">
        <f t="shared" si="37"/>
        <v>ML</v>
      </c>
      <c r="BV35" s="279">
        <f t="shared" si="38"/>
        <v>-1</v>
      </c>
      <c r="BW35" s="279">
        <f t="shared" si="39"/>
        <v>0</v>
      </c>
      <c r="BX35" s="279">
        <f t="shared" si="40"/>
        <v>-3</v>
      </c>
      <c r="BY35" s="279">
        <f t="shared" si="41"/>
        <v>-2</v>
      </c>
      <c r="BZ35" s="279">
        <f t="shared" si="42"/>
        <v>-1</v>
      </c>
      <c r="CA35" s="279">
        <f t="shared" si="43"/>
        <v>-7</v>
      </c>
      <c r="CB35" s="279">
        <f t="shared" si="44"/>
        <v>20</v>
      </c>
      <c r="CC35" s="279">
        <f t="shared" si="45"/>
        <v>13</v>
      </c>
      <c r="CD35" s="279">
        <f t="shared" si="46"/>
        <v>14</v>
      </c>
      <c r="CE35" s="279">
        <f t="shared" si="47"/>
        <v>1</v>
      </c>
      <c r="CF35" s="294" t="str">
        <f t="shared" si="48"/>
        <v/>
      </c>
      <c r="CG35" s="294" t="str">
        <f t="shared" si="49"/>
        <v/>
      </c>
      <c r="CH35" s="294" t="str">
        <f t="shared" si="50"/>
        <v/>
      </c>
      <c r="CI35" s="294" t="str">
        <f t="shared" si="51"/>
        <v/>
      </c>
      <c r="CJ35" s="294" t="str">
        <f t="shared" si="57"/>
        <v/>
      </c>
      <c r="CK35" s="294" t="str">
        <f t="shared" si="53"/>
        <v/>
      </c>
      <c r="CL35" s="294" t="str">
        <f t="shared" si="54"/>
        <v/>
      </c>
      <c r="CM35" s="294" t="str">
        <f t="shared" si="55"/>
        <v/>
      </c>
      <c r="CN35" s="294" t="str">
        <f t="shared" si="56"/>
        <v>X</v>
      </c>
    </row>
    <row r="36" spans="1:92">
      <c r="A36" s="277" t="str">
        <f>IF(ISERROR(VLOOKUP(G36,CON!$C$3:$C$24,1,FALSE)),IF(ISERROR(VLOOKUP(G36,'PSP-AAA'!$C$6:$C$33,1,FALSE)),IF(ISERROR(VLOOKUP(G36,'NH-AA'!$C$6:$C$33,1,FALSE)),IF(ISERROR(VLOOKUP(G36,'CRG-A'!$C$6:$C$33,1,FALSE)),IF(ISERROR(VLOOKUP(G36,'PC-S A'!$C$6:$C$33,1,FALSE)),"","S A"),"A"),"AA"),"AAA"),"ML")</f>
        <v>AA</v>
      </c>
      <c r="B36" s="278"/>
      <c r="C36" s="279">
        <f t="shared" si="4"/>
        <v>5</v>
      </c>
      <c r="D36" s="279" t="str">
        <f t="shared" si="5"/>
        <v>-</v>
      </c>
      <c r="E36" s="279" t="str">
        <f t="shared" si="6"/>
        <v>K</v>
      </c>
      <c r="F36" s="279" t="s">
        <v>98</v>
      </c>
      <c r="G36" s="279" t="s">
        <v>465</v>
      </c>
      <c r="H36" s="279" t="s">
        <v>373</v>
      </c>
      <c r="I36" s="279" t="s">
        <v>210</v>
      </c>
      <c r="J36" s="279">
        <v>22</v>
      </c>
      <c r="K36" s="279" t="s">
        <v>104</v>
      </c>
      <c r="L36" s="279" t="s">
        <v>104</v>
      </c>
      <c r="M36" s="279" t="s">
        <v>47</v>
      </c>
      <c r="N36" s="280" t="s">
        <v>42</v>
      </c>
      <c r="O36" s="279" t="s">
        <v>225</v>
      </c>
      <c r="P36" s="280" t="s">
        <v>223</v>
      </c>
      <c r="Q36" s="279">
        <v>5</v>
      </c>
      <c r="R36" s="279">
        <v>4</v>
      </c>
      <c r="S36" s="279">
        <v>5</v>
      </c>
      <c r="T36" s="279">
        <v>5</v>
      </c>
      <c r="U36" s="280">
        <v>2</v>
      </c>
      <c r="V36" s="279">
        <v>6</v>
      </c>
      <c r="W36" s="279">
        <v>5</v>
      </c>
      <c r="X36" s="279">
        <v>7</v>
      </c>
      <c r="Y36" s="279">
        <v>8</v>
      </c>
      <c r="Z36" s="280">
        <v>3</v>
      </c>
      <c r="AA36" s="279">
        <v>1</v>
      </c>
      <c r="AB36" s="279">
        <v>5</v>
      </c>
      <c r="AC36" s="279">
        <v>1</v>
      </c>
      <c r="AD36" s="279" t="s">
        <v>41</v>
      </c>
      <c r="AE36" s="279" t="s">
        <v>41</v>
      </c>
      <c r="AF36" s="279" t="s">
        <v>41</v>
      </c>
      <c r="AG36" s="279" t="s">
        <v>41</v>
      </c>
      <c r="AH36" s="279" t="s">
        <v>41</v>
      </c>
      <c r="AI36" s="279">
        <v>8</v>
      </c>
      <c r="AJ36" s="279" t="s">
        <v>41</v>
      </c>
      <c r="AK36" s="280">
        <v>3</v>
      </c>
      <c r="AL36" s="279">
        <v>5</v>
      </c>
      <c r="AM36" s="279">
        <v>8</v>
      </c>
      <c r="AN36" s="280">
        <v>10</v>
      </c>
      <c r="AO36" s="281" t="s">
        <v>41</v>
      </c>
      <c r="AP36" s="280">
        <v>0</v>
      </c>
      <c r="AQ36" s="282">
        <f t="shared" si="7"/>
        <v>4.5</v>
      </c>
      <c r="AR36" s="283" t="str">
        <f t="shared" si="8"/>
        <v>Bench</v>
      </c>
      <c r="AS36" s="282">
        <f t="shared" si="9"/>
        <v>7.5</v>
      </c>
      <c r="AT36" s="282" t="str">
        <f t="shared" si="10"/>
        <v>GoodReg</v>
      </c>
      <c r="AU36" s="283">
        <f t="shared" si="11"/>
        <v>7.5</v>
      </c>
      <c r="AV36" s="283" t="str">
        <f t="shared" si="12"/>
        <v>GoodReg</v>
      </c>
      <c r="AW36" s="284">
        <f t="shared" si="13"/>
        <v>0</v>
      </c>
      <c r="AX36" s="285">
        <f t="shared" si="14"/>
        <v>0</v>
      </c>
      <c r="AY36" s="285">
        <f t="shared" si="15"/>
        <v>0</v>
      </c>
      <c r="AZ36" s="285">
        <f t="shared" si="16"/>
        <v>0</v>
      </c>
      <c r="BA36" s="285">
        <f t="shared" si="17"/>
        <v>0</v>
      </c>
      <c r="BB36" s="285">
        <f t="shared" si="18"/>
        <v>0</v>
      </c>
      <c r="BC36" s="285">
        <f t="shared" si="19"/>
        <v>0</v>
      </c>
      <c r="BD36" s="285">
        <f t="shared" si="20"/>
        <v>0</v>
      </c>
      <c r="BE36" s="280">
        <f t="shared" si="21"/>
        <v>0</v>
      </c>
      <c r="BF36" s="284">
        <f t="shared" si="22"/>
        <v>0</v>
      </c>
      <c r="BG36" s="285">
        <f t="shared" si="23"/>
        <v>1</v>
      </c>
      <c r="BH36" s="285">
        <f t="shared" si="24"/>
        <v>0</v>
      </c>
      <c r="BI36" s="285">
        <f t="shared" si="25"/>
        <v>0</v>
      </c>
      <c r="BJ36" s="285">
        <f t="shared" si="26"/>
        <v>1</v>
      </c>
      <c r="BK36" s="285">
        <f t="shared" si="27"/>
        <v>1</v>
      </c>
      <c r="BL36" s="285">
        <f t="shared" si="28"/>
        <v>1</v>
      </c>
      <c r="BM36" s="285">
        <f t="shared" si="29"/>
        <v>1</v>
      </c>
      <c r="BN36" s="280">
        <f t="shared" si="30"/>
        <v>1</v>
      </c>
      <c r="BO36" s="280">
        <f t="shared" si="31"/>
        <v>3</v>
      </c>
      <c r="BP36" s="286">
        <f t="shared" si="32"/>
        <v>2</v>
      </c>
      <c r="BQ36" s="279" t="str">
        <f t="shared" si="33"/>
        <v/>
      </c>
      <c r="BR36" s="278" t="str">
        <f t="shared" si="34"/>
        <v>Likely</v>
      </c>
      <c r="BS36" s="279" t="str">
        <f t="shared" si="35"/>
        <v>Bench</v>
      </c>
      <c r="BT36" s="279" t="str">
        <f t="shared" si="36"/>
        <v>Start</v>
      </c>
      <c r="BU36" s="279" t="str">
        <f t="shared" si="37"/>
        <v>AAA</v>
      </c>
      <c r="BV36" s="279">
        <f t="shared" si="38"/>
        <v>-1</v>
      </c>
      <c r="BW36" s="279">
        <f t="shared" si="39"/>
        <v>-1</v>
      </c>
      <c r="BX36" s="279">
        <f t="shared" si="40"/>
        <v>-2</v>
      </c>
      <c r="BY36" s="279">
        <f t="shared" si="41"/>
        <v>-3</v>
      </c>
      <c r="BZ36" s="279">
        <f t="shared" si="42"/>
        <v>-1</v>
      </c>
      <c r="CA36" s="279">
        <f t="shared" si="43"/>
        <v>-8</v>
      </c>
      <c r="CB36" s="279">
        <f t="shared" si="44"/>
        <v>21</v>
      </c>
      <c r="CC36" s="279">
        <f t="shared" si="45"/>
        <v>13</v>
      </c>
      <c r="CD36" s="279">
        <f t="shared" si="46"/>
        <v>14</v>
      </c>
      <c r="CE36" s="279">
        <f t="shared" si="47"/>
        <v>1</v>
      </c>
      <c r="CF36" s="294" t="str">
        <f t="shared" si="48"/>
        <v/>
      </c>
      <c r="CG36" s="294" t="str">
        <f t="shared" si="49"/>
        <v/>
      </c>
      <c r="CH36" s="294" t="str">
        <f t="shared" si="50"/>
        <v/>
      </c>
      <c r="CI36" s="294" t="str">
        <f t="shared" si="51"/>
        <v/>
      </c>
      <c r="CJ36" s="294" t="str">
        <f t="shared" si="57"/>
        <v/>
      </c>
      <c r="CK36" s="294" t="str">
        <f t="shared" si="53"/>
        <v>X</v>
      </c>
      <c r="CL36" s="294" t="str">
        <f t="shared" si="54"/>
        <v/>
      </c>
      <c r="CM36" s="294" t="str">
        <f t="shared" si="55"/>
        <v/>
      </c>
      <c r="CN36" s="294" t="str">
        <f t="shared" si="56"/>
        <v/>
      </c>
    </row>
    <row r="37" spans="1:92">
      <c r="A37" s="277" t="str">
        <f>IF(ISERROR(VLOOKUP(G37,CON!$C$3:$C$24,1,FALSE)),IF(ISERROR(VLOOKUP(G37,'PSP-AAA'!$C$6:$C$33,1,FALSE)),IF(ISERROR(VLOOKUP(G37,'NH-AA'!$C$6:$C$33,1,FALSE)),IF(ISERROR(VLOOKUP(G37,'CRG-A'!$C$6:$C$33,1,FALSE)),IF(ISERROR(VLOOKUP(G37,'PC-S A'!$C$6:$C$33,1,FALSE)),"","S A"),"A"),"AA"),"AAA"),"ML")</f>
        <v>ML</v>
      </c>
      <c r="B37" s="278"/>
      <c r="C37" s="279">
        <f t="shared" si="4"/>
        <v>7</v>
      </c>
      <c r="D37" s="279" t="str">
        <f t="shared" si="5"/>
        <v>-</v>
      </c>
      <c r="E37" s="279" t="str">
        <f t="shared" si="6"/>
        <v>K</v>
      </c>
      <c r="F37" s="279" t="s">
        <v>99</v>
      </c>
      <c r="G37" s="279" t="s">
        <v>382</v>
      </c>
      <c r="H37" s="279" t="s">
        <v>25</v>
      </c>
      <c r="I37" s="279" t="s">
        <v>207</v>
      </c>
      <c r="J37" s="279">
        <v>25</v>
      </c>
      <c r="K37" s="279" t="s">
        <v>104</v>
      </c>
      <c r="L37" s="279" t="s">
        <v>104</v>
      </c>
      <c r="M37" s="279" t="s">
        <v>47</v>
      </c>
      <c r="N37" s="280" t="s">
        <v>47</v>
      </c>
      <c r="O37" s="279" t="s">
        <v>224</v>
      </c>
      <c r="P37" s="280" t="s">
        <v>225</v>
      </c>
      <c r="Q37" s="279">
        <v>5</v>
      </c>
      <c r="R37" s="279">
        <v>4</v>
      </c>
      <c r="S37" s="279">
        <v>6</v>
      </c>
      <c r="T37" s="279">
        <v>4</v>
      </c>
      <c r="U37" s="280">
        <v>4</v>
      </c>
      <c r="V37" s="279">
        <v>5</v>
      </c>
      <c r="W37" s="279">
        <v>5</v>
      </c>
      <c r="X37" s="279">
        <v>8</v>
      </c>
      <c r="Y37" s="279">
        <v>5</v>
      </c>
      <c r="Z37" s="280">
        <v>4</v>
      </c>
      <c r="AA37" s="279">
        <v>1</v>
      </c>
      <c r="AB37" s="279">
        <v>8</v>
      </c>
      <c r="AC37" s="279">
        <v>1</v>
      </c>
      <c r="AD37" s="279" t="s">
        <v>41</v>
      </c>
      <c r="AE37" s="279" t="s">
        <v>41</v>
      </c>
      <c r="AF37" s="279" t="s">
        <v>41</v>
      </c>
      <c r="AG37" s="279" t="s">
        <v>41</v>
      </c>
      <c r="AH37" s="279" t="s">
        <v>41</v>
      </c>
      <c r="AI37" s="279">
        <v>10</v>
      </c>
      <c r="AJ37" s="279">
        <v>7</v>
      </c>
      <c r="AK37" s="280">
        <v>8</v>
      </c>
      <c r="AL37" s="279">
        <v>9</v>
      </c>
      <c r="AM37" s="279">
        <v>9</v>
      </c>
      <c r="AN37" s="280">
        <v>9</v>
      </c>
      <c r="AO37" s="281">
        <v>500000</v>
      </c>
      <c r="AP37" s="280" t="s">
        <v>45</v>
      </c>
      <c r="AQ37" s="282">
        <f t="shared" si="7"/>
        <v>4.5</v>
      </c>
      <c r="AR37" s="283" t="str">
        <f t="shared" si="8"/>
        <v>Bench</v>
      </c>
      <c r="AS37" s="282">
        <f t="shared" si="9"/>
        <v>5.75</v>
      </c>
      <c r="AT37" s="282" t="str">
        <f t="shared" si="10"/>
        <v>Reg</v>
      </c>
      <c r="AU37" s="283">
        <f t="shared" si="11"/>
        <v>4.5</v>
      </c>
      <c r="AV37" s="283" t="str">
        <f t="shared" si="12"/>
        <v>Bench</v>
      </c>
      <c r="AW37" s="284">
        <f t="shared" si="13"/>
        <v>0</v>
      </c>
      <c r="AX37" s="285">
        <f t="shared" si="14"/>
        <v>0</v>
      </c>
      <c r="AY37" s="285">
        <f t="shared" si="15"/>
        <v>0</v>
      </c>
      <c r="AZ37" s="285">
        <f t="shared" si="16"/>
        <v>0</v>
      </c>
      <c r="BA37" s="285">
        <f t="shared" si="17"/>
        <v>0</v>
      </c>
      <c r="BB37" s="285">
        <f t="shared" si="18"/>
        <v>0</v>
      </c>
      <c r="BC37" s="285">
        <f t="shared" si="19"/>
        <v>0</v>
      </c>
      <c r="BD37" s="285">
        <f t="shared" si="20"/>
        <v>0</v>
      </c>
      <c r="BE37" s="280">
        <f t="shared" si="21"/>
        <v>0</v>
      </c>
      <c r="BF37" s="284">
        <f t="shared" si="22"/>
        <v>0</v>
      </c>
      <c r="BG37" s="285">
        <f t="shared" si="23"/>
        <v>0</v>
      </c>
      <c r="BH37" s="285">
        <f t="shared" si="24"/>
        <v>0</v>
      </c>
      <c r="BI37" s="285">
        <f t="shared" si="25"/>
        <v>0</v>
      </c>
      <c r="BJ37" s="285">
        <f t="shared" si="26"/>
        <v>0</v>
      </c>
      <c r="BK37" s="285">
        <f t="shared" si="27"/>
        <v>0</v>
      </c>
      <c r="BL37" s="285">
        <f t="shared" si="28"/>
        <v>1</v>
      </c>
      <c r="BM37" s="285">
        <f t="shared" si="29"/>
        <v>1</v>
      </c>
      <c r="BN37" s="280">
        <f t="shared" si="30"/>
        <v>1</v>
      </c>
      <c r="BO37" s="280">
        <f t="shared" si="31"/>
        <v>5</v>
      </c>
      <c r="BP37" s="286">
        <f t="shared" si="32"/>
        <v>2</v>
      </c>
      <c r="BQ37" s="279" t="str">
        <f t="shared" si="33"/>
        <v/>
      </c>
      <c r="BR37" s="278" t="str">
        <f t="shared" si="34"/>
        <v>There</v>
      </c>
      <c r="BS37" s="279" t="str">
        <f t="shared" si="35"/>
        <v>Bench</v>
      </c>
      <c r="BT37" s="279" t="str">
        <f t="shared" si="36"/>
        <v>Bench</v>
      </c>
      <c r="BU37" s="279" t="str">
        <f t="shared" si="37"/>
        <v>AAA</v>
      </c>
      <c r="BV37" s="279">
        <f t="shared" si="38"/>
        <v>0</v>
      </c>
      <c r="BW37" s="279">
        <f t="shared" si="39"/>
        <v>-1</v>
      </c>
      <c r="BX37" s="279">
        <f t="shared" si="40"/>
        <v>-2</v>
      </c>
      <c r="BY37" s="279">
        <f t="shared" si="41"/>
        <v>-1</v>
      </c>
      <c r="BZ37" s="279">
        <f t="shared" si="42"/>
        <v>0</v>
      </c>
      <c r="CA37" s="279">
        <f t="shared" si="43"/>
        <v>-4</v>
      </c>
      <c r="CB37" s="279">
        <f t="shared" si="44"/>
        <v>18</v>
      </c>
      <c r="CC37" s="279">
        <f t="shared" si="45"/>
        <v>13</v>
      </c>
      <c r="CD37" s="279">
        <f t="shared" si="46"/>
        <v>10</v>
      </c>
      <c r="CE37" s="279" t="str">
        <f t="shared" si="47"/>
        <v>Now - Age</v>
      </c>
      <c r="CF37" s="294" t="str">
        <f t="shared" si="48"/>
        <v/>
      </c>
      <c r="CG37" s="294" t="str">
        <f t="shared" si="49"/>
        <v/>
      </c>
      <c r="CH37" s="294" t="str">
        <f t="shared" si="50"/>
        <v/>
      </c>
      <c r="CI37" s="294" t="str">
        <f t="shared" si="51"/>
        <v/>
      </c>
      <c r="CJ37" s="294" t="str">
        <f t="shared" si="57"/>
        <v/>
      </c>
      <c r="CK37" s="294" t="str">
        <f t="shared" si="53"/>
        <v>X</v>
      </c>
      <c r="CL37" s="294" t="str">
        <f t="shared" si="54"/>
        <v>X</v>
      </c>
      <c r="CM37" s="294" t="str">
        <f t="shared" si="55"/>
        <v>X</v>
      </c>
      <c r="CN37" s="294" t="str">
        <f t="shared" si="56"/>
        <v/>
      </c>
    </row>
    <row r="38" spans="1:92">
      <c r="A38" s="277" t="str">
        <f>IF(ISERROR(VLOOKUP(G38,CON!$C$3:$C$24,1,FALSE)),IF(ISERROR(VLOOKUP(G38,'PSP-AAA'!$C$6:$C$33,1,FALSE)),IF(ISERROR(VLOOKUP(G38,'NH-AA'!$C$6:$C$33,1,FALSE)),IF(ISERROR(VLOOKUP(G38,'CRG-A'!$C$6:$C$33,1,FALSE)),IF(ISERROR(VLOOKUP(G38,'PC-S A'!$C$6:$C$33,1,FALSE)),"","S A"),"A"),"AA"),"AAA"),"ML")</f>
        <v>AAA</v>
      </c>
      <c r="B38" s="278"/>
      <c r="C38" s="279" t="str">
        <f t="shared" si="4"/>
        <v>-</v>
      </c>
      <c r="D38" s="279" t="str">
        <f t="shared" si="5"/>
        <v>-</v>
      </c>
      <c r="E38" s="279" t="str">
        <f t="shared" si="6"/>
        <v>K</v>
      </c>
      <c r="F38" s="279" t="s">
        <v>97</v>
      </c>
      <c r="G38" s="279" t="s">
        <v>438</v>
      </c>
      <c r="H38" s="279" t="s">
        <v>372</v>
      </c>
      <c r="I38" s="279" t="s">
        <v>209</v>
      </c>
      <c r="J38" s="279">
        <v>24</v>
      </c>
      <c r="K38" s="279" t="s">
        <v>104</v>
      </c>
      <c r="L38" s="279" t="s">
        <v>104</v>
      </c>
      <c r="M38" s="279" t="s">
        <v>47</v>
      </c>
      <c r="N38" s="280" t="s">
        <v>47</v>
      </c>
      <c r="O38" s="279" t="s">
        <v>223</v>
      </c>
      <c r="P38" s="280" t="s">
        <v>224</v>
      </c>
      <c r="Q38" s="279">
        <v>5</v>
      </c>
      <c r="R38" s="279">
        <v>6</v>
      </c>
      <c r="S38" s="279">
        <v>5</v>
      </c>
      <c r="T38" s="279">
        <v>5</v>
      </c>
      <c r="U38" s="280">
        <v>4</v>
      </c>
      <c r="V38" s="279">
        <v>5</v>
      </c>
      <c r="W38" s="279">
        <v>6</v>
      </c>
      <c r="X38" s="279">
        <v>5</v>
      </c>
      <c r="Y38" s="279">
        <v>6</v>
      </c>
      <c r="Z38" s="280">
        <v>4</v>
      </c>
      <c r="AA38" s="279">
        <v>9</v>
      </c>
      <c r="AB38" s="279">
        <v>8</v>
      </c>
      <c r="AC38" s="279">
        <v>1</v>
      </c>
      <c r="AD38" s="279" t="s">
        <v>41</v>
      </c>
      <c r="AE38" s="279">
        <v>8</v>
      </c>
      <c r="AF38" s="279">
        <v>5</v>
      </c>
      <c r="AG38" s="279">
        <v>8</v>
      </c>
      <c r="AH38" s="279">
        <v>7</v>
      </c>
      <c r="AI38" s="279">
        <v>6</v>
      </c>
      <c r="AJ38" s="279" t="s">
        <v>41</v>
      </c>
      <c r="AK38" s="280" t="s">
        <v>41</v>
      </c>
      <c r="AL38" s="279">
        <v>7</v>
      </c>
      <c r="AM38" s="279">
        <v>8</v>
      </c>
      <c r="AN38" s="280">
        <v>7</v>
      </c>
      <c r="AO38" s="281" t="s">
        <v>41</v>
      </c>
      <c r="AP38" s="280">
        <v>0</v>
      </c>
      <c r="AQ38" s="282">
        <f t="shared" si="7"/>
        <v>4.5</v>
      </c>
      <c r="AR38" s="283" t="str">
        <f t="shared" si="8"/>
        <v>Bench</v>
      </c>
      <c r="AS38" s="282">
        <f t="shared" si="9"/>
        <v>4.833333333333333</v>
      </c>
      <c r="AT38" s="282" t="str">
        <f t="shared" si="10"/>
        <v>Bench</v>
      </c>
      <c r="AU38" s="283">
        <f t="shared" si="11"/>
        <v>4.833333333333333</v>
      </c>
      <c r="AV38" s="283" t="str">
        <f t="shared" si="12"/>
        <v>Bench</v>
      </c>
      <c r="AW38" s="284">
        <f t="shared" si="13"/>
        <v>0</v>
      </c>
      <c r="AX38" s="285">
        <f t="shared" si="14"/>
        <v>0</v>
      </c>
      <c r="AY38" s="285">
        <f t="shared" si="15"/>
        <v>0</v>
      </c>
      <c r="AZ38" s="285">
        <f t="shared" si="16"/>
        <v>0</v>
      </c>
      <c r="BA38" s="285">
        <f t="shared" si="17"/>
        <v>0</v>
      </c>
      <c r="BB38" s="285">
        <f t="shared" si="18"/>
        <v>0</v>
      </c>
      <c r="BC38" s="285">
        <f t="shared" si="19"/>
        <v>0</v>
      </c>
      <c r="BD38" s="285">
        <f t="shared" si="20"/>
        <v>0</v>
      </c>
      <c r="BE38" s="280">
        <f t="shared" si="21"/>
        <v>0</v>
      </c>
      <c r="BF38" s="284">
        <f t="shared" si="22"/>
        <v>0</v>
      </c>
      <c r="BG38" s="285">
        <f t="shared" si="23"/>
        <v>0</v>
      </c>
      <c r="BH38" s="285">
        <f t="shared" si="24"/>
        <v>0</v>
      </c>
      <c r="BI38" s="285">
        <f t="shared" si="25"/>
        <v>0</v>
      </c>
      <c r="BJ38" s="285">
        <f t="shared" si="26"/>
        <v>0</v>
      </c>
      <c r="BK38" s="285">
        <f t="shared" si="27"/>
        <v>0</v>
      </c>
      <c r="BL38" s="285">
        <f t="shared" si="28"/>
        <v>0</v>
      </c>
      <c r="BM38" s="285">
        <f t="shared" si="29"/>
        <v>0</v>
      </c>
      <c r="BN38" s="280">
        <f t="shared" si="30"/>
        <v>0</v>
      </c>
      <c r="BO38" s="280">
        <f t="shared" si="31"/>
        <v>3</v>
      </c>
      <c r="BP38" s="286">
        <f t="shared" si="32"/>
        <v>2</v>
      </c>
      <c r="BQ38" s="279" t="str">
        <f t="shared" si="33"/>
        <v/>
      </c>
      <c r="BR38" s="278" t="str">
        <f t="shared" si="34"/>
        <v>Possible</v>
      </c>
      <c r="BS38" s="279" t="str">
        <f t="shared" si="35"/>
        <v>Bench</v>
      </c>
      <c r="BT38" s="279" t="str">
        <f t="shared" si="36"/>
        <v>Bench</v>
      </c>
      <c r="BU38" s="279" t="str">
        <f t="shared" si="37"/>
        <v>AAA</v>
      </c>
      <c r="BV38" s="279">
        <f t="shared" si="38"/>
        <v>0</v>
      </c>
      <c r="BW38" s="279">
        <f t="shared" si="39"/>
        <v>0</v>
      </c>
      <c r="BX38" s="279">
        <f t="shared" si="40"/>
        <v>0</v>
      </c>
      <c r="BY38" s="279">
        <f t="shared" si="41"/>
        <v>-1</v>
      </c>
      <c r="BZ38" s="279">
        <f t="shared" si="42"/>
        <v>0</v>
      </c>
      <c r="CA38" s="279">
        <f t="shared" si="43"/>
        <v>-1</v>
      </c>
      <c r="CB38" s="279">
        <f t="shared" si="44"/>
        <v>16</v>
      </c>
      <c r="CC38" s="279">
        <f t="shared" si="45"/>
        <v>10</v>
      </c>
      <c r="CD38" s="279">
        <f t="shared" si="46"/>
        <v>11</v>
      </c>
      <c r="CE38" s="279" t="str">
        <f t="shared" si="47"/>
        <v>With Dev</v>
      </c>
      <c r="CF38" s="294" t="str">
        <f t="shared" si="48"/>
        <v/>
      </c>
      <c r="CG38" s="294" t="str">
        <f t="shared" si="49"/>
        <v>X</v>
      </c>
      <c r="CH38" s="294" t="str">
        <f t="shared" si="50"/>
        <v/>
      </c>
      <c r="CI38" s="294" t="str">
        <f t="shared" si="51"/>
        <v>X</v>
      </c>
      <c r="CJ38" s="294" t="str">
        <f t="shared" si="57"/>
        <v>X</v>
      </c>
      <c r="CK38" s="294" t="str">
        <f t="shared" si="53"/>
        <v>X</v>
      </c>
      <c r="CL38" s="294" t="str">
        <f t="shared" si="54"/>
        <v/>
      </c>
      <c r="CM38" s="294" t="str">
        <f t="shared" si="55"/>
        <v/>
      </c>
      <c r="CN38" s="294" t="str">
        <f t="shared" si="56"/>
        <v/>
      </c>
    </row>
    <row r="39" spans="1:92">
      <c r="A39" s="277" t="str">
        <f>IF(ISERROR(VLOOKUP(G39,CON!$C$3:$C$24,1,FALSE)),IF(ISERROR(VLOOKUP(G39,'PSP-AAA'!$C$6:$C$33,1,FALSE)),IF(ISERROR(VLOOKUP(G39,'NH-AA'!$C$6:$C$33,1,FALSE)),IF(ISERROR(VLOOKUP(G39,'CRG-A'!$C$6:$C$33,1,FALSE)),IF(ISERROR(VLOOKUP(G39,'PC-S A'!$C$6:$C$33,1,FALSE)),"","S A"),"A"),"AA"),"AAA"),"ML")</f>
        <v/>
      </c>
      <c r="B39" s="278"/>
      <c r="C39" s="279">
        <f t="shared" si="4"/>
        <v>2</v>
      </c>
      <c r="D39" s="279">
        <f t="shared" si="5"/>
        <v>2</v>
      </c>
      <c r="E39" s="279" t="str">
        <f t="shared" si="6"/>
        <v>K</v>
      </c>
      <c r="F39" s="279" t="s">
        <v>96</v>
      </c>
      <c r="G39" s="279" t="s">
        <v>413</v>
      </c>
      <c r="H39" s="279" t="s">
        <v>25</v>
      </c>
      <c r="I39" s="279" t="s">
        <v>207</v>
      </c>
      <c r="J39" s="279">
        <v>28</v>
      </c>
      <c r="K39" s="279" t="s">
        <v>104</v>
      </c>
      <c r="L39" s="279" t="s">
        <v>104</v>
      </c>
      <c r="M39" s="279" t="s">
        <v>47</v>
      </c>
      <c r="N39" s="280" t="s">
        <v>47</v>
      </c>
      <c r="O39" s="279" t="s">
        <v>224</v>
      </c>
      <c r="P39" s="280" t="s">
        <v>226</v>
      </c>
      <c r="Q39" s="279">
        <v>5</v>
      </c>
      <c r="R39" s="279">
        <v>7</v>
      </c>
      <c r="S39" s="279">
        <v>2</v>
      </c>
      <c r="T39" s="279">
        <v>8</v>
      </c>
      <c r="U39" s="280">
        <v>4</v>
      </c>
      <c r="V39" s="279">
        <v>5</v>
      </c>
      <c r="W39" s="279">
        <v>7</v>
      </c>
      <c r="X39" s="279">
        <v>2</v>
      </c>
      <c r="Y39" s="279">
        <v>9</v>
      </c>
      <c r="Z39" s="280">
        <v>4</v>
      </c>
      <c r="AA39" s="279">
        <v>4</v>
      </c>
      <c r="AB39" s="279">
        <v>2</v>
      </c>
      <c r="AC39" s="279">
        <v>1</v>
      </c>
      <c r="AD39" s="279" t="s">
        <v>41</v>
      </c>
      <c r="AE39" s="279">
        <v>10</v>
      </c>
      <c r="AF39" s="279">
        <v>8</v>
      </c>
      <c r="AG39" s="279">
        <v>7</v>
      </c>
      <c r="AH39" s="279">
        <v>7</v>
      </c>
      <c r="AI39" s="279">
        <v>1</v>
      </c>
      <c r="AJ39" s="279" t="s">
        <v>41</v>
      </c>
      <c r="AK39" s="280" t="s">
        <v>41</v>
      </c>
      <c r="AL39" s="279">
        <v>5</v>
      </c>
      <c r="AM39" s="279">
        <v>4</v>
      </c>
      <c r="AN39" s="280">
        <v>5</v>
      </c>
      <c r="AO39" s="281">
        <v>500000</v>
      </c>
      <c r="AP39" s="280" t="s">
        <v>45</v>
      </c>
      <c r="AQ39" s="282">
        <f t="shared" si="7"/>
        <v>4.5</v>
      </c>
      <c r="AR39" s="283" t="str">
        <f t="shared" si="8"/>
        <v>Bench</v>
      </c>
      <c r="AS39" s="282">
        <f t="shared" si="9"/>
        <v>4.833333333333333</v>
      </c>
      <c r="AT39" s="282" t="str">
        <f t="shared" si="10"/>
        <v>Bench</v>
      </c>
      <c r="AU39" s="283">
        <f t="shared" si="11"/>
        <v>4.5</v>
      </c>
      <c r="AV39" s="283" t="str">
        <f t="shared" si="12"/>
        <v>Bench</v>
      </c>
      <c r="AW39" s="284">
        <f t="shared" si="13"/>
        <v>0</v>
      </c>
      <c r="AX39" s="285">
        <f t="shared" si="14"/>
        <v>1</v>
      </c>
      <c r="AY39" s="285">
        <f t="shared" si="15"/>
        <v>0</v>
      </c>
      <c r="AZ39" s="285">
        <f t="shared" si="16"/>
        <v>0</v>
      </c>
      <c r="BA39" s="285">
        <f t="shared" si="17"/>
        <v>0</v>
      </c>
      <c r="BB39" s="285">
        <f t="shared" si="18"/>
        <v>0</v>
      </c>
      <c r="BC39" s="285">
        <f t="shared" si="19"/>
        <v>1</v>
      </c>
      <c r="BD39" s="285">
        <f t="shared" si="20"/>
        <v>1</v>
      </c>
      <c r="BE39" s="280">
        <f t="shared" si="21"/>
        <v>1</v>
      </c>
      <c r="BF39" s="284">
        <f t="shared" si="22"/>
        <v>0</v>
      </c>
      <c r="BG39" s="285">
        <f t="shared" si="23"/>
        <v>1</v>
      </c>
      <c r="BH39" s="285">
        <f t="shared" si="24"/>
        <v>0</v>
      </c>
      <c r="BI39" s="285">
        <f t="shared" si="25"/>
        <v>0</v>
      </c>
      <c r="BJ39" s="285">
        <f t="shared" si="26"/>
        <v>0</v>
      </c>
      <c r="BK39" s="285">
        <f t="shared" si="27"/>
        <v>0</v>
      </c>
      <c r="BL39" s="285">
        <f t="shared" si="28"/>
        <v>1</v>
      </c>
      <c r="BM39" s="285">
        <f t="shared" si="29"/>
        <v>1</v>
      </c>
      <c r="BN39" s="280">
        <f t="shared" si="30"/>
        <v>1</v>
      </c>
      <c r="BO39" s="280">
        <f t="shared" si="31"/>
        <v>0</v>
      </c>
      <c r="BP39" s="286">
        <f t="shared" si="32"/>
        <v>2</v>
      </c>
      <c r="BQ39" s="279" t="str">
        <f t="shared" si="33"/>
        <v/>
      </c>
      <c r="BR39" s="278" t="str">
        <f t="shared" si="34"/>
        <v>Possible</v>
      </c>
      <c r="BS39" s="279" t="str">
        <f t="shared" si="35"/>
        <v>Bench</v>
      </c>
      <c r="BT39" s="279" t="str">
        <f t="shared" si="36"/>
        <v>Bench</v>
      </c>
      <c r="BU39" s="279" t="str">
        <f t="shared" si="37"/>
        <v>AAA</v>
      </c>
      <c r="BV39" s="279">
        <f t="shared" si="38"/>
        <v>0</v>
      </c>
      <c r="BW39" s="279">
        <f t="shared" si="39"/>
        <v>0</v>
      </c>
      <c r="BX39" s="279">
        <f t="shared" si="40"/>
        <v>0</v>
      </c>
      <c r="BY39" s="279">
        <f t="shared" si="41"/>
        <v>-1</v>
      </c>
      <c r="BZ39" s="279">
        <f t="shared" si="42"/>
        <v>0</v>
      </c>
      <c r="CA39" s="279">
        <f t="shared" si="43"/>
        <v>-1</v>
      </c>
      <c r="CB39" s="279">
        <f t="shared" si="44"/>
        <v>16</v>
      </c>
      <c r="CC39" s="279">
        <f t="shared" si="45"/>
        <v>7</v>
      </c>
      <c r="CD39" s="279">
        <f t="shared" si="46"/>
        <v>14</v>
      </c>
      <c r="CE39" s="279" t="str">
        <f t="shared" si="47"/>
        <v>Now - Age</v>
      </c>
      <c r="CF39" s="294" t="str">
        <f t="shared" si="48"/>
        <v/>
      </c>
      <c r="CG39" s="294" t="str">
        <f t="shared" si="49"/>
        <v>X</v>
      </c>
      <c r="CH39" s="294" t="str">
        <f t="shared" si="50"/>
        <v>X</v>
      </c>
      <c r="CI39" s="294" t="str">
        <f t="shared" si="51"/>
        <v/>
      </c>
      <c r="CJ39" s="294" t="str">
        <f t="shared" si="57"/>
        <v/>
      </c>
      <c r="CK39" s="294" t="str">
        <f t="shared" si="53"/>
        <v/>
      </c>
      <c r="CL39" s="294" t="str">
        <f t="shared" si="54"/>
        <v/>
      </c>
      <c r="CM39" s="294" t="str">
        <f t="shared" si="55"/>
        <v/>
      </c>
      <c r="CN39" s="294" t="str">
        <f t="shared" si="56"/>
        <v/>
      </c>
    </row>
    <row r="40" spans="1:92">
      <c r="A40" s="277" t="str">
        <f>IF(ISERROR(VLOOKUP(G40,CON!$C$3:$C$24,1,FALSE)),IF(ISERROR(VLOOKUP(G40,'PSP-AAA'!$C$6:$C$33,1,FALSE)),IF(ISERROR(VLOOKUP(G40,'NH-AA'!$C$6:$C$33,1,FALSE)),IF(ISERROR(VLOOKUP(G40,'CRG-A'!$C$6:$C$33,1,FALSE)),IF(ISERROR(VLOOKUP(G40,'PC-S A'!$C$6:$C$33,1,FALSE)),"","S A"),"A"),"AA"),"AAA"),"ML")</f>
        <v/>
      </c>
      <c r="B40" s="278"/>
      <c r="C40" s="279" t="str">
        <f t="shared" si="4"/>
        <v>-</v>
      </c>
      <c r="D40" s="279" t="str">
        <f t="shared" si="5"/>
        <v>-</v>
      </c>
      <c r="E40" s="279" t="str">
        <f t="shared" si="6"/>
        <v>T</v>
      </c>
      <c r="F40" s="279" t="s">
        <v>99</v>
      </c>
      <c r="G40" s="279" t="s">
        <v>517</v>
      </c>
      <c r="H40" s="279" t="s">
        <v>371</v>
      </c>
      <c r="I40" s="279" t="s">
        <v>208</v>
      </c>
      <c r="J40" s="279">
        <v>26</v>
      </c>
      <c r="K40" s="279" t="s">
        <v>103</v>
      </c>
      <c r="L40" s="279" t="s">
        <v>103</v>
      </c>
      <c r="M40" s="279" t="s">
        <v>47</v>
      </c>
      <c r="N40" s="280" t="s">
        <v>47</v>
      </c>
      <c r="O40" s="279" t="s">
        <v>225</v>
      </c>
      <c r="P40" s="280" t="s">
        <v>225</v>
      </c>
      <c r="Q40" s="279">
        <v>5</v>
      </c>
      <c r="R40" s="279">
        <v>5</v>
      </c>
      <c r="S40" s="279">
        <v>5</v>
      </c>
      <c r="T40" s="279">
        <v>5</v>
      </c>
      <c r="U40" s="280">
        <v>3</v>
      </c>
      <c r="V40" s="279">
        <v>5</v>
      </c>
      <c r="W40" s="279">
        <v>5</v>
      </c>
      <c r="X40" s="279">
        <v>5</v>
      </c>
      <c r="Y40" s="279">
        <v>5</v>
      </c>
      <c r="Z40" s="280">
        <v>3</v>
      </c>
      <c r="AA40" s="279">
        <v>1</v>
      </c>
      <c r="AB40" s="279">
        <v>6</v>
      </c>
      <c r="AC40" s="279">
        <v>1</v>
      </c>
      <c r="AD40" s="279" t="s">
        <v>41</v>
      </c>
      <c r="AE40" s="279" t="s">
        <v>41</v>
      </c>
      <c r="AF40" s="279" t="s">
        <v>41</v>
      </c>
      <c r="AG40" s="279" t="s">
        <v>41</v>
      </c>
      <c r="AH40" s="279" t="s">
        <v>41</v>
      </c>
      <c r="AI40" s="279">
        <v>7</v>
      </c>
      <c r="AJ40" s="279">
        <v>8</v>
      </c>
      <c r="AK40" s="280">
        <v>8</v>
      </c>
      <c r="AL40" s="279">
        <v>7</v>
      </c>
      <c r="AM40" s="279">
        <v>8</v>
      </c>
      <c r="AN40" s="280">
        <v>7</v>
      </c>
      <c r="AO40" s="281" t="s">
        <v>41</v>
      </c>
      <c r="AP40" s="280">
        <v>0</v>
      </c>
      <c r="AQ40" s="282">
        <f t="shared" si="7"/>
        <v>4.5</v>
      </c>
      <c r="AR40" s="283" t="str">
        <f t="shared" si="8"/>
        <v>Bench</v>
      </c>
      <c r="AS40" s="282">
        <f t="shared" si="9"/>
        <v>4.5</v>
      </c>
      <c r="AT40" s="282" t="str">
        <f t="shared" si="10"/>
        <v>Bench</v>
      </c>
      <c r="AU40" s="283">
        <f t="shared" si="11"/>
        <v>4.5</v>
      </c>
      <c r="AV40" s="283" t="str">
        <f t="shared" si="12"/>
        <v>Bench</v>
      </c>
      <c r="AW40" s="284">
        <f t="shared" si="13"/>
        <v>0</v>
      </c>
      <c r="AX40" s="285">
        <f t="shared" si="14"/>
        <v>0</v>
      </c>
      <c r="AY40" s="285">
        <f t="shared" si="15"/>
        <v>0</v>
      </c>
      <c r="AZ40" s="285">
        <f t="shared" si="16"/>
        <v>0</v>
      </c>
      <c r="BA40" s="285">
        <f t="shared" si="17"/>
        <v>0</v>
      </c>
      <c r="BB40" s="285">
        <f t="shared" si="18"/>
        <v>0</v>
      </c>
      <c r="BC40" s="285">
        <f t="shared" si="19"/>
        <v>0</v>
      </c>
      <c r="BD40" s="285">
        <f t="shared" si="20"/>
        <v>0</v>
      </c>
      <c r="BE40" s="280">
        <f t="shared" si="21"/>
        <v>0</v>
      </c>
      <c r="BF40" s="284">
        <f t="shared" si="22"/>
        <v>0</v>
      </c>
      <c r="BG40" s="285">
        <f t="shared" si="23"/>
        <v>0</v>
      </c>
      <c r="BH40" s="285">
        <f t="shared" si="24"/>
        <v>0</v>
      </c>
      <c r="BI40" s="285">
        <f t="shared" si="25"/>
        <v>0</v>
      </c>
      <c r="BJ40" s="285">
        <f t="shared" si="26"/>
        <v>0</v>
      </c>
      <c r="BK40" s="285">
        <f t="shared" si="27"/>
        <v>0</v>
      </c>
      <c r="BL40" s="285">
        <f t="shared" si="28"/>
        <v>0</v>
      </c>
      <c r="BM40" s="285">
        <f t="shared" si="29"/>
        <v>0</v>
      </c>
      <c r="BN40" s="280">
        <f t="shared" si="30"/>
        <v>0</v>
      </c>
      <c r="BO40" s="280">
        <f t="shared" si="31"/>
        <v>3</v>
      </c>
      <c r="BP40" s="286">
        <f t="shared" si="32"/>
        <v>2</v>
      </c>
      <c r="BQ40" s="279" t="str">
        <f t="shared" si="33"/>
        <v/>
      </c>
      <c r="BR40" s="278" t="str">
        <f t="shared" si="34"/>
        <v>Possible</v>
      </c>
      <c r="BS40" s="279" t="str">
        <f t="shared" si="35"/>
        <v>Bench</v>
      </c>
      <c r="BT40" s="279" t="str">
        <f t="shared" si="36"/>
        <v>Bench</v>
      </c>
      <c r="BU40" s="279" t="str">
        <f t="shared" si="37"/>
        <v>AAA</v>
      </c>
      <c r="BV40" s="279">
        <f t="shared" si="38"/>
        <v>0</v>
      </c>
      <c r="BW40" s="279">
        <f t="shared" si="39"/>
        <v>0</v>
      </c>
      <c r="BX40" s="279">
        <f t="shared" si="40"/>
        <v>0</v>
      </c>
      <c r="BY40" s="279">
        <f t="shared" si="41"/>
        <v>0</v>
      </c>
      <c r="BZ40" s="279">
        <f t="shared" si="42"/>
        <v>0</v>
      </c>
      <c r="CA40" s="279">
        <f t="shared" si="43"/>
        <v>0</v>
      </c>
      <c r="CB40" s="279">
        <f t="shared" si="44"/>
        <v>15</v>
      </c>
      <c r="CC40" s="279">
        <f t="shared" si="45"/>
        <v>10</v>
      </c>
      <c r="CD40" s="279">
        <f t="shared" si="46"/>
        <v>10</v>
      </c>
      <c r="CE40" s="279" t="str">
        <f t="shared" si="47"/>
        <v>Now - Age</v>
      </c>
      <c r="CF40" s="294" t="str">
        <f t="shared" si="48"/>
        <v/>
      </c>
      <c r="CG40" s="294" t="str">
        <f t="shared" si="49"/>
        <v/>
      </c>
      <c r="CH40" s="294" t="str">
        <f t="shared" si="50"/>
        <v/>
      </c>
      <c r="CI40" s="294" t="str">
        <f t="shared" si="51"/>
        <v/>
      </c>
      <c r="CJ40" s="294" t="str">
        <f t="shared" si="57"/>
        <v/>
      </c>
      <c r="CK40" s="294" t="str">
        <f t="shared" si="53"/>
        <v>X</v>
      </c>
      <c r="CL40" s="294" t="str">
        <f t="shared" si="54"/>
        <v>X</v>
      </c>
      <c r="CM40" s="294" t="str">
        <f t="shared" si="55"/>
        <v/>
      </c>
      <c r="CN40" s="294" t="str">
        <f t="shared" si="56"/>
        <v/>
      </c>
    </row>
    <row r="41" spans="1:92">
      <c r="A41" s="277" t="str">
        <f>IF(ISERROR(VLOOKUP(G41,CON!$C$3:$C$24,1,FALSE)),IF(ISERROR(VLOOKUP(G41,'PSP-AAA'!$C$6:$C$33,1,FALSE)),IF(ISERROR(VLOOKUP(G41,'NH-AA'!$C$6:$C$33,1,FALSE)),IF(ISERROR(VLOOKUP(G41,'CRG-A'!$C$6:$C$33,1,FALSE)),IF(ISERROR(VLOOKUP(G41,'PC-S A'!$C$6:$C$33,1,FALSE)),"","S A"),"A"),"AA"),"AAA"),"ML")</f>
        <v/>
      </c>
      <c r="B41" s="278"/>
      <c r="C41" s="279" t="str">
        <f t="shared" si="4"/>
        <v>-</v>
      </c>
      <c r="D41" s="279" t="str">
        <f t="shared" si="5"/>
        <v>-</v>
      </c>
      <c r="E41" s="279" t="str">
        <f t="shared" si="6"/>
        <v>K</v>
      </c>
      <c r="F41" s="279" t="s">
        <v>92</v>
      </c>
      <c r="G41" s="279" t="s">
        <v>52</v>
      </c>
      <c r="H41" s="279" t="s">
        <v>373</v>
      </c>
      <c r="I41" s="279" t="s">
        <v>210</v>
      </c>
      <c r="J41" s="279">
        <v>29</v>
      </c>
      <c r="K41" s="279" t="s">
        <v>104</v>
      </c>
      <c r="L41" s="279" t="s">
        <v>104</v>
      </c>
      <c r="M41" s="279" t="s">
        <v>47</v>
      </c>
      <c r="N41" s="280" t="s">
        <v>47</v>
      </c>
      <c r="O41" s="279" t="s">
        <v>223</v>
      </c>
      <c r="P41" s="280" t="s">
        <v>223</v>
      </c>
      <c r="Q41" s="279">
        <v>5</v>
      </c>
      <c r="R41" s="279">
        <v>6</v>
      </c>
      <c r="S41" s="279">
        <v>5</v>
      </c>
      <c r="T41" s="279">
        <v>5</v>
      </c>
      <c r="U41" s="280">
        <v>6</v>
      </c>
      <c r="V41" s="279">
        <v>5</v>
      </c>
      <c r="W41" s="279">
        <v>6</v>
      </c>
      <c r="X41" s="279">
        <v>5</v>
      </c>
      <c r="Y41" s="279">
        <v>5</v>
      </c>
      <c r="Z41" s="280">
        <v>6</v>
      </c>
      <c r="AA41" s="279">
        <v>4</v>
      </c>
      <c r="AB41" s="279">
        <v>5</v>
      </c>
      <c r="AC41" s="279">
        <v>6</v>
      </c>
      <c r="AD41" s="279">
        <v>7</v>
      </c>
      <c r="AE41" s="279">
        <v>1</v>
      </c>
      <c r="AF41" s="279" t="s">
        <v>41</v>
      </c>
      <c r="AG41" s="279" t="s">
        <v>41</v>
      </c>
      <c r="AH41" s="279" t="s">
        <v>41</v>
      </c>
      <c r="AI41" s="279" t="s">
        <v>41</v>
      </c>
      <c r="AJ41" s="279" t="s">
        <v>41</v>
      </c>
      <c r="AK41" s="280" t="s">
        <v>41</v>
      </c>
      <c r="AL41" s="279">
        <v>1</v>
      </c>
      <c r="AM41" s="279">
        <v>1</v>
      </c>
      <c r="AN41" s="280">
        <v>1</v>
      </c>
      <c r="AO41" s="281" t="s">
        <v>41</v>
      </c>
      <c r="AP41" s="280">
        <v>0</v>
      </c>
      <c r="AQ41" s="282">
        <f t="shared" si="7"/>
        <v>4.5</v>
      </c>
      <c r="AR41" s="283" t="str">
        <f t="shared" si="8"/>
        <v>Bench</v>
      </c>
      <c r="AS41" s="282">
        <f t="shared" si="9"/>
        <v>4.5</v>
      </c>
      <c r="AT41" s="282" t="str">
        <f t="shared" si="10"/>
        <v>Bench</v>
      </c>
      <c r="AU41" s="283">
        <f t="shared" si="11"/>
        <v>4.5</v>
      </c>
      <c r="AV41" s="283" t="str">
        <f t="shared" si="12"/>
        <v>Bench</v>
      </c>
      <c r="AW41" s="284">
        <f t="shared" si="13"/>
        <v>0</v>
      </c>
      <c r="AX41" s="285">
        <f t="shared" si="14"/>
        <v>0</v>
      </c>
      <c r="AY41" s="285">
        <f t="shared" si="15"/>
        <v>0</v>
      </c>
      <c r="AZ41" s="285">
        <f t="shared" si="16"/>
        <v>0</v>
      </c>
      <c r="BA41" s="285">
        <f t="shared" si="17"/>
        <v>0</v>
      </c>
      <c r="BB41" s="285">
        <f t="shared" si="18"/>
        <v>0</v>
      </c>
      <c r="BC41" s="285">
        <f t="shared" si="19"/>
        <v>0</v>
      </c>
      <c r="BD41" s="285">
        <f t="shared" si="20"/>
        <v>0</v>
      </c>
      <c r="BE41" s="280">
        <f t="shared" si="21"/>
        <v>0</v>
      </c>
      <c r="BF41" s="284">
        <f t="shared" si="22"/>
        <v>0</v>
      </c>
      <c r="BG41" s="285">
        <f t="shared" si="23"/>
        <v>0</v>
      </c>
      <c r="BH41" s="285">
        <f t="shared" si="24"/>
        <v>0</v>
      </c>
      <c r="BI41" s="285">
        <f t="shared" si="25"/>
        <v>0</v>
      </c>
      <c r="BJ41" s="285">
        <f t="shared" si="26"/>
        <v>0</v>
      </c>
      <c r="BK41" s="285">
        <f t="shared" si="27"/>
        <v>0</v>
      </c>
      <c r="BL41" s="285">
        <f t="shared" si="28"/>
        <v>0</v>
      </c>
      <c r="BM41" s="285">
        <f t="shared" si="29"/>
        <v>0</v>
      </c>
      <c r="BN41" s="280">
        <f t="shared" si="30"/>
        <v>0</v>
      </c>
      <c r="BO41" s="280">
        <f t="shared" si="31"/>
        <v>0</v>
      </c>
      <c r="BP41" s="286">
        <f t="shared" si="32"/>
        <v>2</v>
      </c>
      <c r="BQ41" s="279" t="str">
        <f t="shared" si="33"/>
        <v/>
      </c>
      <c r="BR41" s="278" t="str">
        <f t="shared" si="34"/>
        <v>Possible</v>
      </c>
      <c r="BS41" s="279" t="str">
        <f t="shared" si="35"/>
        <v>Bench</v>
      </c>
      <c r="BT41" s="279" t="str">
        <f t="shared" si="36"/>
        <v>Bench</v>
      </c>
      <c r="BU41" s="279" t="str">
        <f t="shared" si="37"/>
        <v>AAA</v>
      </c>
      <c r="BV41" s="279">
        <f t="shared" si="38"/>
        <v>0</v>
      </c>
      <c r="BW41" s="279">
        <f t="shared" si="39"/>
        <v>0</v>
      </c>
      <c r="BX41" s="279">
        <f t="shared" si="40"/>
        <v>0</v>
      </c>
      <c r="BY41" s="279">
        <f t="shared" si="41"/>
        <v>0</v>
      </c>
      <c r="BZ41" s="279">
        <f t="shared" si="42"/>
        <v>0</v>
      </c>
      <c r="CA41" s="279">
        <f t="shared" si="43"/>
        <v>0</v>
      </c>
      <c r="CB41" s="279">
        <f t="shared" si="44"/>
        <v>15</v>
      </c>
      <c r="CC41" s="279">
        <f t="shared" si="45"/>
        <v>10</v>
      </c>
      <c r="CD41" s="279">
        <f t="shared" si="46"/>
        <v>10</v>
      </c>
      <c r="CE41" s="279" t="str">
        <f t="shared" si="47"/>
        <v>Now - Age</v>
      </c>
      <c r="CF41" s="294" t="str">
        <f t="shared" si="48"/>
        <v>X</v>
      </c>
      <c r="CG41" s="294" t="str">
        <f t="shared" si="49"/>
        <v/>
      </c>
      <c r="CH41" s="294" t="str">
        <f t="shared" si="50"/>
        <v/>
      </c>
      <c r="CI41" s="294" t="str">
        <f t="shared" si="51"/>
        <v/>
      </c>
      <c r="CJ41" s="294" t="str">
        <f t="shared" si="57"/>
        <v/>
      </c>
      <c r="CK41" s="294" t="str">
        <f t="shared" si="53"/>
        <v/>
      </c>
      <c r="CL41" s="294" t="str">
        <f t="shared" si="54"/>
        <v/>
      </c>
      <c r="CM41" s="294" t="str">
        <f t="shared" si="55"/>
        <v/>
      </c>
      <c r="CN41" s="294" t="str">
        <f t="shared" si="56"/>
        <v/>
      </c>
    </row>
    <row r="42" spans="1:92">
      <c r="A42" s="277" t="str">
        <f>IF(ISERROR(VLOOKUP(G42,CON!$C$3:$C$24,1,FALSE)),IF(ISERROR(VLOOKUP(G42,'PSP-AAA'!$C$6:$C$33,1,FALSE)),IF(ISERROR(VLOOKUP(G42,'NH-AA'!$C$6:$C$33,1,FALSE)),IF(ISERROR(VLOOKUP(G42,'CRG-A'!$C$6:$C$33,1,FALSE)),IF(ISERROR(VLOOKUP(G42,'PC-S A'!$C$6:$C$33,1,FALSE)),"","S A"),"A"),"AA"),"AAA"),"ML")</f>
        <v>AA</v>
      </c>
      <c r="B42" s="278"/>
      <c r="C42" s="279">
        <f t="shared" si="4"/>
        <v>2</v>
      </c>
      <c r="D42" s="279">
        <f t="shared" si="5"/>
        <v>6</v>
      </c>
      <c r="E42" s="279" t="str">
        <f t="shared" si="6"/>
        <v>T</v>
      </c>
      <c r="F42" s="279" t="s">
        <v>94</v>
      </c>
      <c r="G42" s="279" t="s">
        <v>383</v>
      </c>
      <c r="H42" s="279" t="s">
        <v>372</v>
      </c>
      <c r="I42" s="279" t="s">
        <v>209</v>
      </c>
      <c r="J42" s="279">
        <v>21</v>
      </c>
      <c r="K42" s="279" t="s">
        <v>103</v>
      </c>
      <c r="L42" s="279" t="s">
        <v>103</v>
      </c>
      <c r="M42" s="279" t="s">
        <v>47</v>
      </c>
      <c r="N42" s="280" t="s">
        <v>42</v>
      </c>
      <c r="O42" s="279" t="s">
        <v>226</v>
      </c>
      <c r="P42" s="280" t="s">
        <v>226</v>
      </c>
      <c r="Q42" s="279">
        <v>7</v>
      </c>
      <c r="R42" s="279">
        <v>7</v>
      </c>
      <c r="S42" s="279">
        <v>2</v>
      </c>
      <c r="T42" s="279">
        <v>4</v>
      </c>
      <c r="U42" s="280">
        <v>5</v>
      </c>
      <c r="V42" s="279">
        <v>9</v>
      </c>
      <c r="W42" s="279">
        <v>7</v>
      </c>
      <c r="X42" s="279">
        <v>4</v>
      </c>
      <c r="Y42" s="279">
        <v>6</v>
      </c>
      <c r="Z42" s="280">
        <v>7</v>
      </c>
      <c r="AA42" s="279">
        <v>3</v>
      </c>
      <c r="AB42" s="279">
        <v>3</v>
      </c>
      <c r="AC42" s="279">
        <v>1</v>
      </c>
      <c r="AD42" s="279" t="s">
        <v>41</v>
      </c>
      <c r="AE42" s="279">
        <v>2</v>
      </c>
      <c r="AF42" s="279" t="s">
        <v>41</v>
      </c>
      <c r="AG42" s="279" t="s">
        <v>41</v>
      </c>
      <c r="AH42" s="279" t="s">
        <v>41</v>
      </c>
      <c r="AI42" s="279" t="s">
        <v>41</v>
      </c>
      <c r="AJ42" s="279" t="s">
        <v>41</v>
      </c>
      <c r="AK42" s="280" t="s">
        <v>41</v>
      </c>
      <c r="AL42" s="279">
        <v>3</v>
      </c>
      <c r="AM42" s="279">
        <v>3</v>
      </c>
      <c r="AN42" s="280">
        <v>2</v>
      </c>
      <c r="AO42" s="281" t="s">
        <v>41</v>
      </c>
      <c r="AP42" s="280">
        <v>0</v>
      </c>
      <c r="AQ42" s="282">
        <f t="shared" si="7"/>
        <v>4.333333333333333</v>
      </c>
      <c r="AR42" s="283" t="str">
        <f t="shared" si="8"/>
        <v>Bench</v>
      </c>
      <c r="AS42" s="282">
        <f t="shared" si="9"/>
        <v>6.833333333333333</v>
      </c>
      <c r="AT42" s="282" t="str">
        <f t="shared" si="10"/>
        <v>GoodReg</v>
      </c>
      <c r="AU42" s="283">
        <f t="shared" si="11"/>
        <v>6.833333333333333</v>
      </c>
      <c r="AV42" s="283" t="str">
        <f t="shared" si="12"/>
        <v>GoodReg</v>
      </c>
      <c r="AW42" s="284">
        <f t="shared" si="13"/>
        <v>0</v>
      </c>
      <c r="AX42" s="285">
        <f t="shared" si="14"/>
        <v>0</v>
      </c>
      <c r="AY42" s="285">
        <f t="shared" si="15"/>
        <v>0</v>
      </c>
      <c r="AZ42" s="285">
        <f t="shared" si="16"/>
        <v>0</v>
      </c>
      <c r="BA42" s="285">
        <f t="shared" si="17"/>
        <v>0</v>
      </c>
      <c r="BB42" s="285">
        <f t="shared" si="18"/>
        <v>1</v>
      </c>
      <c r="BC42" s="285">
        <f t="shared" si="19"/>
        <v>1</v>
      </c>
      <c r="BD42" s="285">
        <f t="shared" si="20"/>
        <v>1</v>
      </c>
      <c r="BE42" s="280">
        <f t="shared" si="21"/>
        <v>1</v>
      </c>
      <c r="BF42" s="284">
        <f t="shared" si="22"/>
        <v>0</v>
      </c>
      <c r="BG42" s="285">
        <f t="shared" si="23"/>
        <v>1</v>
      </c>
      <c r="BH42" s="285">
        <f t="shared" si="24"/>
        <v>0</v>
      </c>
      <c r="BI42" s="285">
        <f t="shared" si="25"/>
        <v>0</v>
      </c>
      <c r="BJ42" s="285">
        <f t="shared" si="26"/>
        <v>0</v>
      </c>
      <c r="BK42" s="285">
        <f t="shared" si="27"/>
        <v>1</v>
      </c>
      <c r="BL42" s="285">
        <f t="shared" si="28"/>
        <v>1</v>
      </c>
      <c r="BM42" s="285">
        <f t="shared" si="29"/>
        <v>1</v>
      </c>
      <c r="BN42" s="280">
        <f t="shared" si="30"/>
        <v>1</v>
      </c>
      <c r="BO42" s="280">
        <f t="shared" si="31"/>
        <v>0</v>
      </c>
      <c r="BP42" s="286">
        <f t="shared" si="32"/>
        <v>0</v>
      </c>
      <c r="BQ42" s="279" t="str">
        <f t="shared" si="33"/>
        <v/>
      </c>
      <c r="BR42" s="278" t="str">
        <f t="shared" si="34"/>
        <v>Possible</v>
      </c>
      <c r="BS42" s="279" t="str">
        <f t="shared" si="35"/>
        <v>aack!</v>
      </c>
      <c r="BT42" s="279" t="str">
        <f t="shared" si="36"/>
        <v>Start</v>
      </c>
      <c r="BU42" s="279" t="str">
        <f t="shared" si="37"/>
        <v>ML</v>
      </c>
      <c r="BV42" s="279">
        <f t="shared" si="38"/>
        <v>-2</v>
      </c>
      <c r="BW42" s="279">
        <f t="shared" si="39"/>
        <v>0</v>
      </c>
      <c r="BX42" s="279">
        <f t="shared" si="40"/>
        <v>-2</v>
      </c>
      <c r="BY42" s="279">
        <f t="shared" si="41"/>
        <v>-2</v>
      </c>
      <c r="BZ42" s="279">
        <f t="shared" si="42"/>
        <v>-2</v>
      </c>
      <c r="CA42" s="279">
        <f t="shared" si="43"/>
        <v>-8</v>
      </c>
      <c r="CB42" s="279">
        <f t="shared" si="44"/>
        <v>19</v>
      </c>
      <c r="CC42" s="279">
        <f t="shared" si="45"/>
        <v>13</v>
      </c>
      <c r="CD42" s="279">
        <f t="shared" si="46"/>
        <v>15</v>
      </c>
      <c r="CE42" s="279" t="str">
        <f t="shared" si="47"/>
        <v>Now</v>
      </c>
      <c r="CF42" s="294" t="str">
        <f t="shared" si="48"/>
        <v/>
      </c>
      <c r="CG42" s="294" t="str">
        <f t="shared" si="49"/>
        <v/>
      </c>
      <c r="CH42" s="294" t="str">
        <f t="shared" si="50"/>
        <v/>
      </c>
      <c r="CI42" s="294" t="str">
        <f t="shared" si="51"/>
        <v/>
      </c>
      <c r="CJ42" s="294" t="str">
        <f t="shared" si="57"/>
        <v/>
      </c>
      <c r="CK42" s="294" t="str">
        <f t="shared" si="53"/>
        <v/>
      </c>
      <c r="CL42" s="294" t="str">
        <f t="shared" si="54"/>
        <v/>
      </c>
      <c r="CM42" s="294" t="str">
        <f t="shared" si="55"/>
        <v/>
      </c>
      <c r="CN42" s="294" t="str">
        <f t="shared" si="56"/>
        <v>X</v>
      </c>
    </row>
    <row r="43" spans="1:92">
      <c r="A43" s="277" t="str">
        <f>IF(ISERROR(VLOOKUP(G43,CON!$C$3:$C$24,1,FALSE)),IF(ISERROR(VLOOKUP(G43,'PSP-AAA'!$C$6:$C$33,1,FALSE)),IF(ISERROR(VLOOKUP(G43,'NH-AA'!$C$6:$C$33,1,FALSE)),IF(ISERROR(VLOOKUP(G43,'CRG-A'!$C$6:$C$33,1,FALSE)),IF(ISERROR(VLOOKUP(G43,'PC-S A'!$C$6:$C$33,1,FALSE)),"","S A"),"A"),"AA"),"AAA"),"ML")</f>
        <v>AA</v>
      </c>
      <c r="B43" s="278"/>
      <c r="C43" s="279">
        <f t="shared" ref="C43:C74" si="58">IF(BH43=1,3,IF(BI43=1,4,IF(BF43=1,1,IF(BJ43=1,5,IF(BG43=1,2,IF(BK43=1,6,IF(BL43=1,7,IF(BM43=1,8,IF(BN43=1,9,"-")))))))))</f>
        <v>6</v>
      </c>
      <c r="D43" s="279" t="str">
        <f t="shared" ref="D43:D74" si="59">IF(AY43=1,3,IF(AZ43=1,4,IF(AW43=1,1,IF(BA43=1,5,IF(AX43=1,2,IF(BB43=1,6,IF(BC43=1,7,IF(BD43=1,8,IF(BE43=1,9,"-")))))))))</f>
        <v>-</v>
      </c>
      <c r="E43" s="279" t="str">
        <f t="shared" ref="E43:E74" si="60">IF(OR(OR(O43="Very High",O43="High"),AND(OR(O43="Very High",O43="High",O43="Normal"),OR(P43="Very High",P43="High"))),"K","T")</f>
        <v>T</v>
      </c>
      <c r="F43" s="279" t="s">
        <v>96</v>
      </c>
      <c r="G43" s="279" t="s">
        <v>467</v>
      </c>
      <c r="H43" s="279" t="s">
        <v>372</v>
      </c>
      <c r="I43" s="279" t="s">
        <v>209</v>
      </c>
      <c r="J43" s="279">
        <v>23</v>
      </c>
      <c r="K43" s="279" t="s">
        <v>104</v>
      </c>
      <c r="L43" s="279" t="s">
        <v>104</v>
      </c>
      <c r="M43" s="279" t="s">
        <v>47</v>
      </c>
      <c r="N43" s="280" t="s">
        <v>47</v>
      </c>
      <c r="O43" s="279" t="s">
        <v>225</v>
      </c>
      <c r="P43" s="280" t="s">
        <v>226</v>
      </c>
      <c r="Q43" s="279">
        <v>6</v>
      </c>
      <c r="R43" s="279">
        <v>5</v>
      </c>
      <c r="S43" s="279">
        <v>3</v>
      </c>
      <c r="T43" s="279">
        <v>4</v>
      </c>
      <c r="U43" s="280">
        <v>4</v>
      </c>
      <c r="V43" s="279">
        <v>7</v>
      </c>
      <c r="W43" s="279">
        <v>6</v>
      </c>
      <c r="X43" s="279">
        <v>3</v>
      </c>
      <c r="Y43" s="279">
        <v>5</v>
      </c>
      <c r="Z43" s="280">
        <v>5</v>
      </c>
      <c r="AA43" s="279">
        <v>9</v>
      </c>
      <c r="AB43" s="279">
        <v>8</v>
      </c>
      <c r="AC43" s="279">
        <v>1</v>
      </c>
      <c r="AD43" s="279" t="s">
        <v>41</v>
      </c>
      <c r="AE43" s="279">
        <v>6</v>
      </c>
      <c r="AF43" s="279">
        <v>5</v>
      </c>
      <c r="AG43" s="279">
        <v>8</v>
      </c>
      <c r="AH43" s="279">
        <v>4</v>
      </c>
      <c r="AI43" s="279">
        <v>6</v>
      </c>
      <c r="AJ43" s="279">
        <v>3</v>
      </c>
      <c r="AK43" s="280">
        <v>2</v>
      </c>
      <c r="AL43" s="279">
        <v>8</v>
      </c>
      <c r="AM43" s="279">
        <v>9</v>
      </c>
      <c r="AN43" s="280">
        <v>8</v>
      </c>
      <c r="AO43" s="281" t="s">
        <v>41</v>
      </c>
      <c r="AP43" s="280">
        <v>0</v>
      </c>
      <c r="AQ43" s="282">
        <f t="shared" ref="AQ43:AQ74" si="61">AVERAGE(Q43,S43,T43)+IF(OR(Q43&gt;7,AND(Q43&gt;5,T43&gt;5)),0.5,0)+IF(S43&gt;7,0.25,0)+IF(Q43&lt;6,-0.5*(6-Q43),0)</f>
        <v>4.333333333333333</v>
      </c>
      <c r="AR43" s="283" t="str">
        <f t="shared" ref="AR43:AR74" si="62">IF(AQ43&gt;9,"SuperStar",IF(AQ43&gt;8,"Star",IF(AQ43&gt;6.5,"GoodReg",IF(AQ43&gt;5,"Reg",IF(AQ43&gt;4,"Bench","Minors")))))</f>
        <v>Bench</v>
      </c>
      <c r="AS43" s="282">
        <f t="shared" ref="AS43:AS74" si="63">AVERAGE(V43,X43,Y43)+IF(OR(V43&gt;7,AND(V43&gt;5,Y43&gt;5)),0.5,0)+IF(X43&gt;7,0.25,0)+IF(V43&lt;6,-0.5*(6-V43),0)</f>
        <v>5</v>
      </c>
      <c r="AT43" s="282" t="str">
        <f t="shared" ref="AT43:AT74" si="64">IF(AS43&gt;9,"SuperStar",IF(AS43&gt;8,"Star",IF(AS43&gt;6.5,"GoodReg",IF(AS43&gt;5,"Reg",IF(AS43&gt;4,"Bench","Minors")))))</f>
        <v>Bench</v>
      </c>
      <c r="AU43" s="283">
        <f t="shared" ref="AU43:AU74" si="65">MIN(AQ43+(MAX(0,25-J43))^1.5,AS43)</f>
        <v>5</v>
      </c>
      <c r="AV43" s="283" t="str">
        <f t="shared" ref="AV43:AV74" si="66">IF(AU43&gt;9,"SuperStar",IF(AU43&gt;8,"Star",IF(AU43&gt;6.5,"GoodReg",IF(AU43&gt;5,"Reg",IF(AU43&gt;4,"Bench","Minors")))))</f>
        <v>Bench</v>
      </c>
      <c r="AW43" s="284">
        <f t="shared" ref="AW43:AW74" si="67">IF(AND(OR(Q43+T43&gt;12,AND(Q43&gt;6,T43&gt;6)),AL43&gt;6,OR(AM43&gt;=AL43,AM43&gt;6)),1,0)</f>
        <v>0</v>
      </c>
      <c r="AX43" s="285">
        <f t="shared" ref="AX43:AX74" si="68">IF(OR(AND(Q43&gt;6,U43&gt;6),Q43+T43&gt;12),1,0)</f>
        <v>0</v>
      </c>
      <c r="AY43" s="285">
        <f t="shared" ref="AY43:AY74" si="69">IF(AND(Q43&gt;6,S43&gt;6,T43&gt;6),1,0)</f>
        <v>0</v>
      </c>
      <c r="AZ43" s="285">
        <f t="shared" ref="AZ43:AZ74" si="70">IF(AND(S43&gt;7,OR(Q43&gt;6,T43&gt;6)),1,0)</f>
        <v>0</v>
      </c>
      <c r="BA43" s="285">
        <f t="shared" ref="BA43:BA74" si="71">IF(AND(S43&gt;6,OR(Q43&gt;6,T43&gt;6)),1,0)</f>
        <v>0</v>
      </c>
      <c r="BB43" s="285">
        <f t="shared" ref="BB43:BB74" si="72">IF(AND(OR(Q43&gt;6,S43&gt;6),OR(Q43&gt;6,T43&gt;6)),1,0)</f>
        <v>0</v>
      </c>
      <c r="BC43" s="285">
        <f t="shared" ref="BC43:BC74" si="73">IF(AND(Q43&gt;4,OR(Q43&gt;6,S43&gt;6,T43&gt;6)),1,0)</f>
        <v>0</v>
      </c>
      <c r="BD43" s="285">
        <f t="shared" ref="BD43:BD74" si="74">IF(AND(Q43&gt;4,OR(Q43&gt;6,R43&gt;6,S43&gt;6,T43&gt;6)),1,0)</f>
        <v>0</v>
      </c>
      <c r="BE43" s="280">
        <f t="shared" ref="BE43:BE74" si="75">IF(AND(Q43&gt;4,MAX(Q43:U43)&gt;6),1,0)</f>
        <v>0</v>
      </c>
      <c r="BF43" s="284">
        <f t="shared" ref="BF43:BF74" si="76">IF(AND(OR(V43+Y43&gt;12,AND(V43&gt;6,Y43&gt;6)),AL43&gt;6,OR(AM43&gt;=AL43,AM43&gt;6)),1,0)</f>
        <v>0</v>
      </c>
      <c r="BG43" s="285">
        <f t="shared" ref="BG43:BG74" si="77">IF(OR(AND(V43&gt;6,Z43&gt;6),V43+Y43&gt;12),1,0)</f>
        <v>0</v>
      </c>
      <c r="BH43" s="285">
        <f t="shared" ref="BH43:BH74" si="78">IF(AND(V43&gt;6,X43&gt;6,Y43&gt;6),1,0)</f>
        <v>0</v>
      </c>
      <c r="BI43" s="285">
        <f t="shared" ref="BI43:BI74" si="79">IF(AND(X43&gt;7,OR(V43&gt;6,Y43&gt;6)),1,0)</f>
        <v>0</v>
      </c>
      <c r="BJ43" s="285">
        <f t="shared" ref="BJ43:BJ74" si="80">IF(AND(X43&gt;6,OR(V43&gt;6,Y43&gt;6)),1,0)</f>
        <v>0</v>
      </c>
      <c r="BK43" s="285">
        <f t="shared" ref="BK43:BK74" si="81">IF(AND(OR(V43&gt;6,X43&gt;6),OR(V43&gt;6,Y43&gt;6)),1,0)</f>
        <v>1</v>
      </c>
      <c r="BL43" s="285">
        <f t="shared" ref="BL43:BL74" si="82">IF(AND(V43&gt;4,OR(V43&gt;6,X43&gt;6,Y43&gt;6)),1,0)</f>
        <v>1</v>
      </c>
      <c r="BM43" s="285">
        <f t="shared" ref="BM43:BM74" si="83">IF(AND(V43&gt;4,OR(V43&gt;6,W43&gt;6,X43&gt;6,Y43&gt;6)),1,0)</f>
        <v>1</v>
      </c>
      <c r="BN43" s="280">
        <f t="shared" ref="BN43:BN74" si="84">IF(AND(V43&gt;4,MAX(V43:Z43)&gt;6),1,0)</f>
        <v>1</v>
      </c>
      <c r="BO43" s="280">
        <f t="shared" ref="BO43:BO74" si="85">IF(AVERAGE(AL43:AM43)&gt;9,1,0)+IF(AVERAGE(AL43:AM43)&gt;7,1,0)+IF(AL43&gt;7,1,0)+IF(AM43&gt;7,1,0)+IF(AN43&gt;8,1,0)+IF(AN43&gt;6,1,0)</f>
        <v>4</v>
      </c>
      <c r="BP43" s="286">
        <f t="shared" ref="BP43:BP74" si="86">IF(OR(MAX(AD43,AE43,AI43,AK43)&gt;6,MAX(AF43,AG43,AH43,AJ43)&gt;7),2,IF(MAX(AD43:AK43)&gt;4,1,0))</f>
        <v>2</v>
      </c>
      <c r="BQ43" s="279" t="str">
        <f t="shared" ref="BQ43:BQ74" si="87">IF(AP43=1,"Yes","")</f>
        <v/>
      </c>
      <c r="BR43" s="278" t="str">
        <f t="shared" ref="BR43:BR74" si="88">IF($A43="ML","There",IF(AND($V43&gt;=6,AVERAGE($X43:$Y43)&gt;=6),"Likely",IF(OR($V43&gt;6,AND($V43=6,AVERAGE($X43:$Y43)&gt;=3),AND($V43&gt;=5,AVERAGE($X43:$Y43)&gt;=5),AVERAGE($V43,$X43:$Y43)&gt;5),"Possible","Unlikely")))</f>
        <v>Possible</v>
      </c>
      <c r="BS43" s="279" t="str">
        <f t="shared" ref="BS43:BS74" si="89">IF(OR(AND(Q43&gt;=6,S43+T43&gt;=12),Q43&gt;7),"Start",IF(AND(Q43&gt;=5,S43+T43&gt;=8),"Bench","aack!"))</f>
        <v>aack!</v>
      </c>
      <c r="BT43" s="279" t="str">
        <f t="shared" ref="BT43:BT74" si="90">IF(OR(AND(V43&gt;=6,X43+Y43&gt;=12),V43&gt;7),"Start",IF(AND(V43&gt;=5,X43+Y43&gt;=8),"Bench","aack!"))</f>
        <v>Bench</v>
      </c>
      <c r="BU43" s="279" t="str">
        <f t="shared" ref="BU43:BU74" si="91">IF(Q43&gt;5,"ML",IF(Q43=5,"AAA",IF(Q43=4,"AA",IF(Q43=3,"A","SS-A"))))</f>
        <v>ML</v>
      </c>
      <c r="BV43" s="279">
        <f t="shared" ref="BV43:BV74" si="92">Q43-V43</f>
        <v>-1</v>
      </c>
      <c r="BW43" s="279">
        <f t="shared" ref="BW43:BW74" si="93">R43-W43</f>
        <v>-1</v>
      </c>
      <c r="BX43" s="279">
        <f t="shared" ref="BX43:BX74" si="94">S43-X43</f>
        <v>0</v>
      </c>
      <c r="BY43" s="279">
        <f t="shared" ref="BY43:BY74" si="95">T43-Y43</f>
        <v>-1</v>
      </c>
      <c r="BZ43" s="279">
        <f t="shared" ref="BZ43:BZ74" si="96">U43-Z43</f>
        <v>-1</v>
      </c>
      <c r="CA43" s="279">
        <f t="shared" ref="CA43:CA74" si="97">SUM(BV43:BZ43)</f>
        <v>-4</v>
      </c>
      <c r="CB43" s="279">
        <f t="shared" ref="CB43:CB74" si="98">V43+X43+Y43</f>
        <v>15</v>
      </c>
      <c r="CC43" s="279">
        <f t="shared" ref="CC43:CC74" si="99">V43+X43</f>
        <v>10</v>
      </c>
      <c r="CD43" s="279">
        <f t="shared" ref="CD43:CD74" si="100">V43+Y43</f>
        <v>12</v>
      </c>
      <c r="CE43" s="279">
        <f t="shared" ref="CE43:CE74" si="101">IF(J43&gt;24,"Now - Age",IF(Q43&gt;6,"Now",IF(V43&lt;6,"With Dev",MIN(V43-Q43,7-Q43))))</f>
        <v>1</v>
      </c>
      <c r="CF43" s="294" t="str">
        <f t="shared" ref="CF43:CF74" si="102">IF(AD43&lt;&gt;"-","X","")</f>
        <v/>
      </c>
      <c r="CG43" s="294" t="str">
        <f t="shared" ref="CG43:CG74" si="103">IF(AND(AE43&lt;&gt;"-",AE43&gt;5),"X","")</f>
        <v>X</v>
      </c>
      <c r="CH43" s="294" t="str">
        <f t="shared" ref="CH43:CH74" si="104">IF(AND(AF43&lt;&gt;"-",AF43&gt;5),"X","")</f>
        <v/>
      </c>
      <c r="CI43" s="294" t="str">
        <f t="shared" ref="CI43:CI74" si="105">IF(AND(AG43&lt;&gt;"-",AG43&gt;4,AA43&gt;6),"X","")</f>
        <v>X</v>
      </c>
      <c r="CJ43" s="294" t="str">
        <f t="shared" si="57"/>
        <v/>
      </c>
      <c r="CK43" s="294" t="str">
        <f t="shared" ref="CK43:CK74" si="106">IF(AND(AI43&lt;&gt;"-",AI43&gt;3),"X","")</f>
        <v>X</v>
      </c>
      <c r="CL43" s="294" t="str">
        <f t="shared" ref="CL43:CL74" si="107">IF(AND(AJ43&lt;&gt;"-",AJ43&gt;6),"X","")</f>
        <v/>
      </c>
      <c r="CM43" s="294" t="str">
        <f t="shared" ref="CM43:CM74" si="108">IF(AND(AK43&lt;&gt;"-",AK43&gt;5,AB43&gt;6),"X","")</f>
        <v/>
      </c>
      <c r="CN43" s="294" t="str">
        <f t="shared" ref="CN43:CN74" si="109">IF(COUNTBLANK(CF43:CM43)=8,"X","")</f>
        <v/>
      </c>
    </row>
    <row r="44" spans="1:92">
      <c r="A44" s="277" t="str">
        <f>IF(ISERROR(VLOOKUP(G44,CON!$C$3:$C$24,1,FALSE)),IF(ISERROR(VLOOKUP(G44,'PSP-AAA'!$C$6:$C$33,1,FALSE)),IF(ISERROR(VLOOKUP(G44,'NH-AA'!$C$6:$C$33,1,FALSE)),IF(ISERROR(VLOOKUP(G44,'CRG-A'!$C$6:$C$33,1,FALSE)),IF(ISERROR(VLOOKUP(G44,'PC-S A'!$C$6:$C$33,1,FALSE)),"","S A"),"A"),"AA"),"AAA"),"ML")</f>
        <v/>
      </c>
      <c r="B44" s="278"/>
      <c r="C44" s="279" t="str">
        <f t="shared" si="58"/>
        <v>-</v>
      </c>
      <c r="D44" s="279" t="str">
        <f t="shared" si="59"/>
        <v>-</v>
      </c>
      <c r="E44" s="279" t="str">
        <f t="shared" si="60"/>
        <v>T</v>
      </c>
      <c r="F44" s="279" t="s">
        <v>92</v>
      </c>
      <c r="G44" s="279" t="s">
        <v>470</v>
      </c>
      <c r="H44" s="279" t="s">
        <v>372</v>
      </c>
      <c r="I44" s="279" t="s">
        <v>209</v>
      </c>
      <c r="J44" s="279">
        <v>23</v>
      </c>
      <c r="K44" s="279" t="s">
        <v>104</v>
      </c>
      <c r="L44" s="279" t="s">
        <v>104</v>
      </c>
      <c r="M44" s="279" t="s">
        <v>47</v>
      </c>
      <c r="N44" s="280" t="s">
        <v>47</v>
      </c>
      <c r="O44" s="279" t="s">
        <v>227</v>
      </c>
      <c r="P44" s="280" t="s">
        <v>225</v>
      </c>
      <c r="Q44" s="279">
        <v>5</v>
      </c>
      <c r="R44" s="279">
        <v>3</v>
      </c>
      <c r="S44" s="279">
        <v>4</v>
      </c>
      <c r="T44" s="279">
        <v>4</v>
      </c>
      <c r="U44" s="280">
        <v>4</v>
      </c>
      <c r="V44" s="279">
        <v>5</v>
      </c>
      <c r="W44" s="279">
        <v>3</v>
      </c>
      <c r="X44" s="279">
        <v>5</v>
      </c>
      <c r="Y44" s="279">
        <v>5</v>
      </c>
      <c r="Z44" s="280">
        <v>4</v>
      </c>
      <c r="AA44" s="279">
        <v>6</v>
      </c>
      <c r="AB44" s="279">
        <v>6</v>
      </c>
      <c r="AC44" s="279">
        <v>8</v>
      </c>
      <c r="AD44" s="279">
        <v>4</v>
      </c>
      <c r="AE44" s="279" t="s">
        <v>41</v>
      </c>
      <c r="AF44" s="279" t="s">
        <v>41</v>
      </c>
      <c r="AG44" s="279" t="s">
        <v>41</v>
      </c>
      <c r="AH44" s="279" t="s">
        <v>41</v>
      </c>
      <c r="AI44" s="279">
        <v>2</v>
      </c>
      <c r="AJ44" s="279" t="s">
        <v>41</v>
      </c>
      <c r="AK44" s="280" t="s">
        <v>41</v>
      </c>
      <c r="AL44" s="279">
        <v>2</v>
      </c>
      <c r="AM44" s="279">
        <v>2</v>
      </c>
      <c r="AN44" s="280">
        <v>1</v>
      </c>
      <c r="AO44" s="281" t="s">
        <v>41</v>
      </c>
      <c r="AP44" s="280" t="s">
        <v>45</v>
      </c>
      <c r="AQ44" s="282">
        <f t="shared" si="61"/>
        <v>3.833333333333333</v>
      </c>
      <c r="AR44" s="283" t="str">
        <f t="shared" si="62"/>
        <v>Minors</v>
      </c>
      <c r="AS44" s="282">
        <f t="shared" si="63"/>
        <v>4.5</v>
      </c>
      <c r="AT44" s="282" t="str">
        <f t="shared" si="64"/>
        <v>Bench</v>
      </c>
      <c r="AU44" s="283">
        <f t="shared" si="65"/>
        <v>4.5</v>
      </c>
      <c r="AV44" s="283" t="str">
        <f t="shared" si="66"/>
        <v>Bench</v>
      </c>
      <c r="AW44" s="284">
        <f t="shared" si="67"/>
        <v>0</v>
      </c>
      <c r="AX44" s="285">
        <f t="shared" si="68"/>
        <v>0</v>
      </c>
      <c r="AY44" s="285">
        <f t="shared" si="69"/>
        <v>0</v>
      </c>
      <c r="AZ44" s="285">
        <f t="shared" si="70"/>
        <v>0</v>
      </c>
      <c r="BA44" s="285">
        <f t="shared" si="71"/>
        <v>0</v>
      </c>
      <c r="BB44" s="285">
        <f t="shared" si="72"/>
        <v>0</v>
      </c>
      <c r="BC44" s="285">
        <f t="shared" si="73"/>
        <v>0</v>
      </c>
      <c r="BD44" s="285">
        <f t="shared" si="74"/>
        <v>0</v>
      </c>
      <c r="BE44" s="280">
        <f t="shared" si="75"/>
        <v>0</v>
      </c>
      <c r="BF44" s="284">
        <f t="shared" si="76"/>
        <v>0</v>
      </c>
      <c r="BG44" s="285">
        <f t="shared" si="77"/>
        <v>0</v>
      </c>
      <c r="BH44" s="285">
        <f t="shared" si="78"/>
        <v>0</v>
      </c>
      <c r="BI44" s="285">
        <f t="shared" si="79"/>
        <v>0</v>
      </c>
      <c r="BJ44" s="285">
        <f t="shared" si="80"/>
        <v>0</v>
      </c>
      <c r="BK44" s="285">
        <f t="shared" si="81"/>
        <v>0</v>
      </c>
      <c r="BL44" s="285">
        <f t="shared" si="82"/>
        <v>0</v>
      </c>
      <c r="BM44" s="285">
        <f t="shared" si="83"/>
        <v>0</v>
      </c>
      <c r="BN44" s="280">
        <f t="shared" si="84"/>
        <v>0</v>
      </c>
      <c r="BO44" s="280">
        <f t="shared" si="85"/>
        <v>0</v>
      </c>
      <c r="BP44" s="286">
        <f t="shared" si="86"/>
        <v>0</v>
      </c>
      <c r="BQ44" s="279" t="str">
        <f t="shared" si="87"/>
        <v/>
      </c>
      <c r="BR44" s="278" t="str">
        <f t="shared" si="88"/>
        <v>Possible</v>
      </c>
      <c r="BS44" s="279" t="str">
        <f t="shared" si="89"/>
        <v>Bench</v>
      </c>
      <c r="BT44" s="279" t="str">
        <f t="shared" si="90"/>
        <v>Bench</v>
      </c>
      <c r="BU44" s="279" t="str">
        <f t="shared" si="91"/>
        <v>AAA</v>
      </c>
      <c r="BV44" s="279">
        <f t="shared" si="92"/>
        <v>0</v>
      </c>
      <c r="BW44" s="279">
        <f t="shared" si="93"/>
        <v>0</v>
      </c>
      <c r="BX44" s="279">
        <f t="shared" si="94"/>
        <v>-1</v>
      </c>
      <c r="BY44" s="279">
        <f t="shared" si="95"/>
        <v>-1</v>
      </c>
      <c r="BZ44" s="279">
        <f t="shared" si="96"/>
        <v>0</v>
      </c>
      <c r="CA44" s="279">
        <f t="shared" si="97"/>
        <v>-2</v>
      </c>
      <c r="CB44" s="279">
        <f t="shared" si="98"/>
        <v>15</v>
      </c>
      <c r="CC44" s="279">
        <f t="shared" si="99"/>
        <v>10</v>
      </c>
      <c r="CD44" s="279">
        <f t="shared" si="100"/>
        <v>10</v>
      </c>
      <c r="CE44" s="279" t="str">
        <f t="shared" si="101"/>
        <v>With Dev</v>
      </c>
      <c r="CF44" s="294" t="str">
        <f t="shared" si="102"/>
        <v>X</v>
      </c>
      <c r="CG44" s="294" t="str">
        <f t="shared" si="103"/>
        <v/>
      </c>
      <c r="CH44" s="294" t="str">
        <f t="shared" si="104"/>
        <v/>
      </c>
      <c r="CI44" s="294" t="str">
        <f t="shared" si="105"/>
        <v/>
      </c>
      <c r="CJ44" s="294" t="str">
        <f t="shared" si="57"/>
        <v/>
      </c>
      <c r="CK44" s="294" t="str">
        <f t="shared" si="106"/>
        <v/>
      </c>
      <c r="CL44" s="294" t="str">
        <f t="shared" si="107"/>
        <v/>
      </c>
      <c r="CM44" s="294" t="str">
        <f t="shared" si="108"/>
        <v/>
      </c>
      <c r="CN44" s="294" t="str">
        <f t="shared" si="109"/>
        <v/>
      </c>
    </row>
    <row r="45" spans="1:92">
      <c r="A45" s="277" t="str">
        <f>IF(ISERROR(VLOOKUP(G45,CON!$C$3:$C$24,1,FALSE)),IF(ISERROR(VLOOKUP(G45,'PSP-AAA'!$C$6:$C$33,1,FALSE)),IF(ISERROR(VLOOKUP(G45,'NH-AA'!$C$6:$C$33,1,FALSE)),IF(ISERROR(VLOOKUP(G45,'CRG-A'!$C$6:$C$33,1,FALSE)),IF(ISERROR(VLOOKUP(G45,'PC-S A'!$C$6:$C$33,1,FALSE)),"","S A"),"A"),"AA"),"AAA"),"ML")</f>
        <v/>
      </c>
      <c r="B45" s="278"/>
      <c r="C45" s="279">
        <f t="shared" si="58"/>
        <v>2</v>
      </c>
      <c r="D45" s="279">
        <f t="shared" si="59"/>
        <v>2</v>
      </c>
      <c r="E45" s="279" t="str">
        <f t="shared" si="60"/>
        <v>K</v>
      </c>
      <c r="F45" s="279" t="s">
        <v>95</v>
      </c>
      <c r="G45" s="279" t="s">
        <v>233</v>
      </c>
      <c r="H45" s="279" t="s">
        <v>372</v>
      </c>
      <c r="I45" s="279" t="s">
        <v>209</v>
      </c>
      <c r="J45" s="279">
        <v>26</v>
      </c>
      <c r="K45" s="279" t="s">
        <v>104</v>
      </c>
      <c r="L45" s="279" t="s">
        <v>104</v>
      </c>
      <c r="M45" s="279" t="s">
        <v>47</v>
      </c>
      <c r="N45" s="280" t="s">
        <v>47</v>
      </c>
      <c r="O45" s="279" t="s">
        <v>224</v>
      </c>
      <c r="P45" s="280" t="s">
        <v>223</v>
      </c>
      <c r="Q45" s="279">
        <v>7</v>
      </c>
      <c r="R45" s="279">
        <v>7</v>
      </c>
      <c r="S45" s="279">
        <v>1</v>
      </c>
      <c r="T45" s="279">
        <v>3</v>
      </c>
      <c r="U45" s="280">
        <v>10</v>
      </c>
      <c r="V45" s="279">
        <v>7</v>
      </c>
      <c r="W45" s="279">
        <v>7</v>
      </c>
      <c r="X45" s="279">
        <v>1</v>
      </c>
      <c r="Y45" s="279">
        <v>4</v>
      </c>
      <c r="Z45" s="280">
        <v>10</v>
      </c>
      <c r="AA45" s="279">
        <v>4</v>
      </c>
      <c r="AB45" s="279">
        <v>3</v>
      </c>
      <c r="AC45" s="279">
        <v>1</v>
      </c>
      <c r="AD45" s="279" t="s">
        <v>41</v>
      </c>
      <c r="AE45" s="279" t="s">
        <v>41</v>
      </c>
      <c r="AF45" s="279">
        <v>8</v>
      </c>
      <c r="AG45" s="279" t="s">
        <v>41</v>
      </c>
      <c r="AH45" s="279">
        <v>1</v>
      </c>
      <c r="AI45" s="279" t="s">
        <v>41</v>
      </c>
      <c r="AJ45" s="279" t="s">
        <v>41</v>
      </c>
      <c r="AK45" s="280" t="s">
        <v>41</v>
      </c>
      <c r="AL45" s="279">
        <v>6</v>
      </c>
      <c r="AM45" s="279">
        <v>7</v>
      </c>
      <c r="AN45" s="280">
        <v>6</v>
      </c>
      <c r="AO45" s="281" t="s">
        <v>41</v>
      </c>
      <c r="AP45" s="280">
        <v>0</v>
      </c>
      <c r="AQ45" s="282">
        <f t="shared" si="61"/>
        <v>3.6666666666666665</v>
      </c>
      <c r="AR45" s="283" t="str">
        <f t="shared" si="62"/>
        <v>Minors</v>
      </c>
      <c r="AS45" s="282">
        <f t="shared" si="63"/>
        <v>4</v>
      </c>
      <c r="AT45" s="282" t="str">
        <f t="shared" si="64"/>
        <v>Minors</v>
      </c>
      <c r="AU45" s="283">
        <f t="shared" si="65"/>
        <v>3.6666666666666665</v>
      </c>
      <c r="AV45" s="283" t="str">
        <f t="shared" si="66"/>
        <v>Minors</v>
      </c>
      <c r="AW45" s="284">
        <f t="shared" si="67"/>
        <v>0</v>
      </c>
      <c r="AX45" s="285">
        <f t="shared" si="68"/>
        <v>1</v>
      </c>
      <c r="AY45" s="285">
        <f t="shared" si="69"/>
        <v>0</v>
      </c>
      <c r="AZ45" s="285">
        <f t="shared" si="70"/>
        <v>0</v>
      </c>
      <c r="BA45" s="285">
        <f t="shared" si="71"/>
        <v>0</v>
      </c>
      <c r="BB45" s="285">
        <f t="shared" si="72"/>
        <v>1</v>
      </c>
      <c r="BC45" s="285">
        <f t="shared" si="73"/>
        <v>1</v>
      </c>
      <c r="BD45" s="285">
        <f t="shared" si="74"/>
        <v>1</v>
      </c>
      <c r="BE45" s="280">
        <f t="shared" si="75"/>
        <v>1</v>
      </c>
      <c r="BF45" s="284">
        <f t="shared" si="76"/>
        <v>0</v>
      </c>
      <c r="BG45" s="285">
        <f t="shared" si="77"/>
        <v>1</v>
      </c>
      <c r="BH45" s="285">
        <f t="shared" si="78"/>
        <v>0</v>
      </c>
      <c r="BI45" s="285">
        <f t="shared" si="79"/>
        <v>0</v>
      </c>
      <c r="BJ45" s="285">
        <f t="shared" si="80"/>
        <v>0</v>
      </c>
      <c r="BK45" s="285">
        <f t="shared" si="81"/>
        <v>1</v>
      </c>
      <c r="BL45" s="285">
        <f t="shared" si="82"/>
        <v>1</v>
      </c>
      <c r="BM45" s="285">
        <f t="shared" si="83"/>
        <v>1</v>
      </c>
      <c r="BN45" s="280">
        <f t="shared" si="84"/>
        <v>1</v>
      </c>
      <c r="BO45" s="280">
        <f t="shared" si="85"/>
        <v>0</v>
      </c>
      <c r="BP45" s="286">
        <f t="shared" si="86"/>
        <v>2</v>
      </c>
      <c r="BQ45" s="279" t="str">
        <f t="shared" si="87"/>
        <v/>
      </c>
      <c r="BR45" s="278" t="str">
        <f t="shared" si="88"/>
        <v>Possible</v>
      </c>
      <c r="BS45" s="279" t="str">
        <f t="shared" si="89"/>
        <v>aack!</v>
      </c>
      <c r="BT45" s="279" t="str">
        <f t="shared" si="90"/>
        <v>aack!</v>
      </c>
      <c r="BU45" s="279" t="str">
        <f t="shared" si="91"/>
        <v>ML</v>
      </c>
      <c r="BV45" s="279">
        <f t="shared" si="92"/>
        <v>0</v>
      </c>
      <c r="BW45" s="279">
        <f t="shared" si="93"/>
        <v>0</v>
      </c>
      <c r="BX45" s="279">
        <f t="shared" si="94"/>
        <v>0</v>
      </c>
      <c r="BY45" s="279">
        <f t="shared" si="95"/>
        <v>-1</v>
      </c>
      <c r="BZ45" s="279">
        <f t="shared" si="96"/>
        <v>0</v>
      </c>
      <c r="CA45" s="279">
        <f t="shared" si="97"/>
        <v>-1</v>
      </c>
      <c r="CB45" s="279">
        <f t="shared" si="98"/>
        <v>12</v>
      </c>
      <c r="CC45" s="279">
        <f t="shared" si="99"/>
        <v>8</v>
      </c>
      <c r="CD45" s="279">
        <f t="shared" si="100"/>
        <v>11</v>
      </c>
      <c r="CE45" s="279" t="str">
        <f t="shared" si="101"/>
        <v>Now - Age</v>
      </c>
      <c r="CF45" s="294" t="str">
        <f t="shared" si="102"/>
        <v/>
      </c>
      <c r="CG45" s="294" t="str">
        <f t="shared" si="103"/>
        <v/>
      </c>
      <c r="CH45" s="294" t="str">
        <f t="shared" si="104"/>
        <v>X</v>
      </c>
      <c r="CI45" s="294" t="str">
        <f t="shared" si="105"/>
        <v/>
      </c>
      <c r="CJ45" s="294" t="str">
        <f t="shared" si="57"/>
        <v/>
      </c>
      <c r="CK45" s="294" t="str">
        <f t="shared" si="106"/>
        <v/>
      </c>
      <c r="CL45" s="294" t="str">
        <f t="shared" si="107"/>
        <v/>
      </c>
      <c r="CM45" s="294" t="str">
        <f t="shared" si="108"/>
        <v/>
      </c>
      <c r="CN45" s="294" t="str">
        <f t="shared" si="109"/>
        <v/>
      </c>
    </row>
    <row r="46" spans="1:92">
      <c r="A46" s="277" t="str">
        <f>IF(ISERROR(VLOOKUP(G46,CON!$C$3:$C$24,1,FALSE)),IF(ISERROR(VLOOKUP(G46,'PSP-AAA'!$C$6:$C$33,1,FALSE)),IF(ISERROR(VLOOKUP(G46,'NH-AA'!$C$6:$C$33,1,FALSE)),IF(ISERROR(VLOOKUP(G46,'CRG-A'!$C$6:$C$33,1,FALSE)),IF(ISERROR(VLOOKUP(G46,'PC-S A'!$C$6:$C$33,1,FALSE)),"","S A"),"A"),"AA"),"AAA"),"ML")</f>
        <v>A</v>
      </c>
      <c r="B46" s="278"/>
      <c r="C46" s="279">
        <f t="shared" si="58"/>
        <v>2</v>
      </c>
      <c r="D46" s="279" t="str">
        <f t="shared" si="59"/>
        <v>-</v>
      </c>
      <c r="E46" s="279" t="str">
        <f t="shared" si="60"/>
        <v>T</v>
      </c>
      <c r="F46" s="279" t="s">
        <v>94</v>
      </c>
      <c r="G46" s="279" t="s">
        <v>524</v>
      </c>
      <c r="H46" s="279" t="s">
        <v>370</v>
      </c>
      <c r="I46" s="279" t="s">
        <v>316</v>
      </c>
      <c r="J46" s="279">
        <v>22</v>
      </c>
      <c r="K46" s="279" t="s">
        <v>103</v>
      </c>
      <c r="L46" s="279" t="s">
        <v>104</v>
      </c>
      <c r="M46" s="279" t="s">
        <v>47</v>
      </c>
      <c r="N46" s="280" t="s">
        <v>47</v>
      </c>
      <c r="O46" s="279" t="s">
        <v>227</v>
      </c>
      <c r="P46" s="280" t="s">
        <v>225</v>
      </c>
      <c r="Q46" s="279">
        <v>5</v>
      </c>
      <c r="R46" s="279">
        <v>3</v>
      </c>
      <c r="S46" s="279">
        <v>2</v>
      </c>
      <c r="T46" s="279">
        <v>5</v>
      </c>
      <c r="U46" s="280">
        <v>3</v>
      </c>
      <c r="V46" s="279">
        <v>7</v>
      </c>
      <c r="W46" s="279">
        <v>4</v>
      </c>
      <c r="X46" s="279">
        <v>4</v>
      </c>
      <c r="Y46" s="279">
        <v>7</v>
      </c>
      <c r="Z46" s="280">
        <v>5</v>
      </c>
      <c r="AA46" s="279">
        <v>4</v>
      </c>
      <c r="AB46" s="279">
        <v>2</v>
      </c>
      <c r="AC46" s="279">
        <v>1</v>
      </c>
      <c r="AD46" s="279" t="s">
        <v>41</v>
      </c>
      <c r="AE46" s="279">
        <v>6</v>
      </c>
      <c r="AF46" s="279" t="s">
        <v>41</v>
      </c>
      <c r="AG46" s="279" t="s">
        <v>41</v>
      </c>
      <c r="AH46" s="279" t="s">
        <v>41</v>
      </c>
      <c r="AI46" s="279" t="s">
        <v>41</v>
      </c>
      <c r="AJ46" s="279" t="s">
        <v>41</v>
      </c>
      <c r="AK46" s="280" t="s">
        <v>41</v>
      </c>
      <c r="AL46" s="279">
        <v>4</v>
      </c>
      <c r="AM46" s="279">
        <v>3</v>
      </c>
      <c r="AN46" s="280">
        <v>2</v>
      </c>
      <c r="AO46" s="281" t="s">
        <v>41</v>
      </c>
      <c r="AP46" s="280">
        <v>0</v>
      </c>
      <c r="AQ46" s="282">
        <f t="shared" si="61"/>
        <v>3.5</v>
      </c>
      <c r="AR46" s="283" t="str">
        <f t="shared" si="62"/>
        <v>Minors</v>
      </c>
      <c r="AS46" s="282">
        <f t="shared" si="63"/>
        <v>6.5</v>
      </c>
      <c r="AT46" s="282" t="str">
        <f t="shared" si="64"/>
        <v>Reg</v>
      </c>
      <c r="AU46" s="283">
        <f t="shared" si="65"/>
        <v>6.5</v>
      </c>
      <c r="AV46" s="283" t="str">
        <f t="shared" si="66"/>
        <v>Reg</v>
      </c>
      <c r="AW46" s="284">
        <f t="shared" si="67"/>
        <v>0</v>
      </c>
      <c r="AX46" s="285">
        <f t="shared" si="68"/>
        <v>0</v>
      </c>
      <c r="AY46" s="285">
        <f t="shared" si="69"/>
        <v>0</v>
      </c>
      <c r="AZ46" s="285">
        <f t="shared" si="70"/>
        <v>0</v>
      </c>
      <c r="BA46" s="285">
        <f t="shared" si="71"/>
        <v>0</v>
      </c>
      <c r="BB46" s="285">
        <f t="shared" si="72"/>
        <v>0</v>
      </c>
      <c r="BC46" s="285">
        <f t="shared" si="73"/>
        <v>0</v>
      </c>
      <c r="BD46" s="285">
        <f t="shared" si="74"/>
        <v>0</v>
      </c>
      <c r="BE46" s="280">
        <f t="shared" si="75"/>
        <v>0</v>
      </c>
      <c r="BF46" s="284">
        <f t="shared" si="76"/>
        <v>0</v>
      </c>
      <c r="BG46" s="285">
        <f t="shared" si="77"/>
        <v>1</v>
      </c>
      <c r="BH46" s="285">
        <f t="shared" si="78"/>
        <v>0</v>
      </c>
      <c r="BI46" s="285">
        <f t="shared" si="79"/>
        <v>0</v>
      </c>
      <c r="BJ46" s="285">
        <f t="shared" si="80"/>
        <v>0</v>
      </c>
      <c r="BK46" s="285">
        <f t="shared" si="81"/>
        <v>1</v>
      </c>
      <c r="BL46" s="285">
        <f t="shared" si="82"/>
        <v>1</v>
      </c>
      <c r="BM46" s="285">
        <f t="shared" si="83"/>
        <v>1</v>
      </c>
      <c r="BN46" s="280">
        <f t="shared" si="84"/>
        <v>1</v>
      </c>
      <c r="BO46" s="280">
        <f t="shared" si="85"/>
        <v>0</v>
      </c>
      <c r="BP46" s="286">
        <f t="shared" si="86"/>
        <v>1</v>
      </c>
      <c r="BQ46" s="279" t="str">
        <f t="shared" si="87"/>
        <v/>
      </c>
      <c r="BR46" s="278" t="str">
        <f t="shared" si="88"/>
        <v>Possible</v>
      </c>
      <c r="BS46" s="279" t="str">
        <f t="shared" si="89"/>
        <v>aack!</v>
      </c>
      <c r="BT46" s="279" t="str">
        <f t="shared" si="90"/>
        <v>Bench</v>
      </c>
      <c r="BU46" s="279" t="str">
        <f t="shared" si="91"/>
        <v>AAA</v>
      </c>
      <c r="BV46" s="279">
        <f t="shared" si="92"/>
        <v>-2</v>
      </c>
      <c r="BW46" s="279">
        <f t="shared" si="93"/>
        <v>-1</v>
      </c>
      <c r="BX46" s="279">
        <f t="shared" si="94"/>
        <v>-2</v>
      </c>
      <c r="BY46" s="279">
        <f t="shared" si="95"/>
        <v>-2</v>
      </c>
      <c r="BZ46" s="279">
        <f t="shared" si="96"/>
        <v>-2</v>
      </c>
      <c r="CA46" s="279">
        <f t="shared" si="97"/>
        <v>-9</v>
      </c>
      <c r="CB46" s="279">
        <f t="shared" si="98"/>
        <v>18</v>
      </c>
      <c r="CC46" s="279">
        <f t="shared" si="99"/>
        <v>11</v>
      </c>
      <c r="CD46" s="279">
        <f t="shared" si="100"/>
        <v>14</v>
      </c>
      <c r="CE46" s="279">
        <f t="shared" si="101"/>
        <v>2</v>
      </c>
      <c r="CF46" s="294" t="str">
        <f t="shared" si="102"/>
        <v/>
      </c>
      <c r="CG46" s="294" t="str">
        <f t="shared" si="103"/>
        <v>X</v>
      </c>
      <c r="CH46" s="294" t="str">
        <f t="shared" si="104"/>
        <v/>
      </c>
      <c r="CI46" s="294" t="str">
        <f t="shared" si="105"/>
        <v/>
      </c>
      <c r="CJ46" s="294" t="str">
        <f t="shared" si="57"/>
        <v/>
      </c>
      <c r="CK46" s="294" t="str">
        <f t="shared" si="106"/>
        <v/>
      </c>
      <c r="CL46" s="294" t="str">
        <f t="shared" si="107"/>
        <v/>
      </c>
      <c r="CM46" s="294" t="str">
        <f t="shared" si="108"/>
        <v/>
      </c>
      <c r="CN46" s="294" t="str">
        <f t="shared" si="109"/>
        <v/>
      </c>
    </row>
    <row r="47" spans="1:92">
      <c r="A47" s="277" t="str">
        <f>IF(ISERROR(VLOOKUP(G47,CON!$C$3:$C$24,1,FALSE)),IF(ISERROR(VLOOKUP(G47,'PSP-AAA'!$C$6:$C$33,1,FALSE)),IF(ISERROR(VLOOKUP(G47,'NH-AA'!$C$6:$C$33,1,FALSE)),IF(ISERROR(VLOOKUP(G47,'CRG-A'!$C$6:$C$33,1,FALSE)),IF(ISERROR(VLOOKUP(G47,'PC-S A'!$C$6:$C$33,1,FALSE)),"","S A"),"A"),"AA"),"AAA"),"ML")</f>
        <v/>
      </c>
      <c r="B47" s="278"/>
      <c r="C47" s="279">
        <f t="shared" si="58"/>
        <v>8</v>
      </c>
      <c r="D47" s="279">
        <f t="shared" si="59"/>
        <v>8</v>
      </c>
      <c r="E47" s="279" t="str">
        <f t="shared" si="60"/>
        <v>T</v>
      </c>
      <c r="F47" s="279" t="s">
        <v>94</v>
      </c>
      <c r="G47" s="279" t="s">
        <v>232</v>
      </c>
      <c r="H47" s="279" t="s">
        <v>371</v>
      </c>
      <c r="I47" s="279" t="s">
        <v>208</v>
      </c>
      <c r="J47" s="279">
        <v>24</v>
      </c>
      <c r="K47" s="279" t="s">
        <v>104</v>
      </c>
      <c r="L47" s="279" t="s">
        <v>104</v>
      </c>
      <c r="M47" s="279" t="s">
        <v>47</v>
      </c>
      <c r="N47" s="280" t="s">
        <v>47</v>
      </c>
      <c r="O47" s="279" t="s">
        <v>226</v>
      </c>
      <c r="P47" s="280" t="s">
        <v>223</v>
      </c>
      <c r="Q47" s="279">
        <v>5</v>
      </c>
      <c r="R47" s="279">
        <v>7</v>
      </c>
      <c r="S47" s="279">
        <v>3</v>
      </c>
      <c r="T47" s="279">
        <v>4</v>
      </c>
      <c r="U47" s="280">
        <v>4</v>
      </c>
      <c r="V47" s="279">
        <v>6</v>
      </c>
      <c r="W47" s="279">
        <v>7</v>
      </c>
      <c r="X47" s="279">
        <v>3</v>
      </c>
      <c r="Y47" s="279">
        <v>5</v>
      </c>
      <c r="Z47" s="280">
        <v>5</v>
      </c>
      <c r="AA47" s="279">
        <v>3</v>
      </c>
      <c r="AB47" s="279">
        <v>4</v>
      </c>
      <c r="AC47" s="279">
        <v>1</v>
      </c>
      <c r="AD47" s="279" t="s">
        <v>41</v>
      </c>
      <c r="AE47" s="279">
        <v>6</v>
      </c>
      <c r="AF47" s="279" t="s">
        <v>41</v>
      </c>
      <c r="AG47" s="279" t="s">
        <v>41</v>
      </c>
      <c r="AH47" s="279" t="s">
        <v>41</v>
      </c>
      <c r="AI47" s="279" t="s">
        <v>41</v>
      </c>
      <c r="AJ47" s="279" t="s">
        <v>41</v>
      </c>
      <c r="AK47" s="280" t="s">
        <v>41</v>
      </c>
      <c r="AL47" s="279">
        <v>2</v>
      </c>
      <c r="AM47" s="279">
        <v>1</v>
      </c>
      <c r="AN47" s="280">
        <v>1</v>
      </c>
      <c r="AO47" s="281" t="s">
        <v>41</v>
      </c>
      <c r="AP47" s="280">
        <v>0</v>
      </c>
      <c r="AQ47" s="282">
        <f t="shared" si="61"/>
        <v>3.5</v>
      </c>
      <c r="AR47" s="283" t="str">
        <f t="shared" si="62"/>
        <v>Minors</v>
      </c>
      <c r="AS47" s="282">
        <f t="shared" si="63"/>
        <v>4.666666666666667</v>
      </c>
      <c r="AT47" s="282" t="str">
        <f t="shared" si="64"/>
        <v>Bench</v>
      </c>
      <c r="AU47" s="283">
        <f t="shared" si="65"/>
        <v>4.5</v>
      </c>
      <c r="AV47" s="283" t="str">
        <f t="shared" si="66"/>
        <v>Bench</v>
      </c>
      <c r="AW47" s="284">
        <f t="shared" si="67"/>
        <v>0</v>
      </c>
      <c r="AX47" s="285">
        <f t="shared" si="68"/>
        <v>0</v>
      </c>
      <c r="AY47" s="285">
        <f t="shared" si="69"/>
        <v>0</v>
      </c>
      <c r="AZ47" s="285">
        <f t="shared" si="70"/>
        <v>0</v>
      </c>
      <c r="BA47" s="285">
        <f t="shared" si="71"/>
        <v>0</v>
      </c>
      <c r="BB47" s="285">
        <f t="shared" si="72"/>
        <v>0</v>
      </c>
      <c r="BC47" s="285">
        <f t="shared" si="73"/>
        <v>0</v>
      </c>
      <c r="BD47" s="285">
        <f t="shared" si="74"/>
        <v>1</v>
      </c>
      <c r="BE47" s="280">
        <f t="shared" si="75"/>
        <v>1</v>
      </c>
      <c r="BF47" s="284">
        <f t="shared" si="76"/>
        <v>0</v>
      </c>
      <c r="BG47" s="285">
        <f t="shared" si="77"/>
        <v>0</v>
      </c>
      <c r="BH47" s="285">
        <f t="shared" si="78"/>
        <v>0</v>
      </c>
      <c r="BI47" s="285">
        <f t="shared" si="79"/>
        <v>0</v>
      </c>
      <c r="BJ47" s="285">
        <f t="shared" si="80"/>
        <v>0</v>
      </c>
      <c r="BK47" s="285">
        <f t="shared" si="81"/>
        <v>0</v>
      </c>
      <c r="BL47" s="285">
        <f t="shared" si="82"/>
        <v>0</v>
      </c>
      <c r="BM47" s="285">
        <f t="shared" si="83"/>
        <v>1</v>
      </c>
      <c r="BN47" s="280">
        <f t="shared" si="84"/>
        <v>1</v>
      </c>
      <c r="BO47" s="280">
        <f t="shared" si="85"/>
        <v>0</v>
      </c>
      <c r="BP47" s="286">
        <f t="shared" si="86"/>
        <v>1</v>
      </c>
      <c r="BQ47" s="279" t="str">
        <f t="shared" si="87"/>
        <v/>
      </c>
      <c r="BR47" s="278" t="str">
        <f t="shared" si="88"/>
        <v>Possible</v>
      </c>
      <c r="BS47" s="279" t="str">
        <f t="shared" si="89"/>
        <v>aack!</v>
      </c>
      <c r="BT47" s="279" t="str">
        <f t="shared" si="90"/>
        <v>Bench</v>
      </c>
      <c r="BU47" s="279" t="str">
        <f t="shared" si="91"/>
        <v>AAA</v>
      </c>
      <c r="BV47" s="279">
        <f t="shared" si="92"/>
        <v>-1</v>
      </c>
      <c r="BW47" s="279">
        <f t="shared" si="93"/>
        <v>0</v>
      </c>
      <c r="BX47" s="279">
        <f t="shared" si="94"/>
        <v>0</v>
      </c>
      <c r="BY47" s="279">
        <f t="shared" si="95"/>
        <v>-1</v>
      </c>
      <c r="BZ47" s="279">
        <f t="shared" si="96"/>
        <v>-1</v>
      </c>
      <c r="CA47" s="279">
        <f t="shared" si="97"/>
        <v>-3</v>
      </c>
      <c r="CB47" s="279">
        <f t="shared" si="98"/>
        <v>14</v>
      </c>
      <c r="CC47" s="279">
        <f t="shared" si="99"/>
        <v>9</v>
      </c>
      <c r="CD47" s="279">
        <f t="shared" si="100"/>
        <v>11</v>
      </c>
      <c r="CE47" s="279">
        <f t="shared" si="101"/>
        <v>1</v>
      </c>
      <c r="CF47" s="294" t="str">
        <f t="shared" si="102"/>
        <v/>
      </c>
      <c r="CG47" s="294" t="str">
        <f t="shared" si="103"/>
        <v>X</v>
      </c>
      <c r="CH47" s="294" t="str">
        <f t="shared" si="104"/>
        <v/>
      </c>
      <c r="CI47" s="294" t="str">
        <f t="shared" si="105"/>
        <v/>
      </c>
      <c r="CJ47" s="294" t="str">
        <f t="shared" si="57"/>
        <v/>
      </c>
      <c r="CK47" s="294" t="str">
        <f t="shared" si="106"/>
        <v/>
      </c>
      <c r="CL47" s="294" t="str">
        <f t="shared" si="107"/>
        <v/>
      </c>
      <c r="CM47" s="294" t="str">
        <f t="shared" si="108"/>
        <v/>
      </c>
      <c r="CN47" s="294" t="str">
        <f t="shared" si="109"/>
        <v/>
      </c>
    </row>
    <row r="48" spans="1:92">
      <c r="A48" s="277" t="str">
        <f>IF(ISERROR(VLOOKUP(G48,CON!$C$3:$C$24,1,FALSE)),IF(ISERROR(VLOOKUP(G48,'PSP-AAA'!$C$6:$C$33,1,FALSE)),IF(ISERROR(VLOOKUP(G48,'NH-AA'!$C$6:$C$33,1,FALSE)),IF(ISERROR(VLOOKUP(G48,'CRG-A'!$C$6:$C$33,1,FALSE)),IF(ISERROR(VLOOKUP(G48,'PC-S A'!$C$6:$C$33,1,FALSE)),"","S A"),"A"),"AA"),"AAA"),"ML")</f>
        <v/>
      </c>
      <c r="B48" s="278"/>
      <c r="C48" s="279">
        <f t="shared" si="58"/>
        <v>9</v>
      </c>
      <c r="D48" s="279">
        <f t="shared" si="59"/>
        <v>9</v>
      </c>
      <c r="E48" s="279" t="str">
        <f t="shared" si="60"/>
        <v>K</v>
      </c>
      <c r="F48" s="279" t="s">
        <v>99</v>
      </c>
      <c r="G48" s="279" t="s">
        <v>518</v>
      </c>
      <c r="H48" s="279" t="s">
        <v>372</v>
      </c>
      <c r="I48" s="279" t="s">
        <v>209</v>
      </c>
      <c r="J48" s="279">
        <v>30</v>
      </c>
      <c r="K48" s="279" t="s">
        <v>104</v>
      </c>
      <c r="L48" s="279" t="s">
        <v>104</v>
      </c>
      <c r="M48" s="279" t="s">
        <v>47</v>
      </c>
      <c r="N48" s="280" t="s">
        <v>47</v>
      </c>
      <c r="O48" s="279" t="s">
        <v>223</v>
      </c>
      <c r="P48" s="280" t="s">
        <v>225</v>
      </c>
      <c r="Q48" s="279">
        <v>5</v>
      </c>
      <c r="R48" s="279">
        <v>3</v>
      </c>
      <c r="S48" s="279">
        <v>2</v>
      </c>
      <c r="T48" s="279">
        <v>5</v>
      </c>
      <c r="U48" s="280">
        <v>7</v>
      </c>
      <c r="V48" s="279">
        <v>5</v>
      </c>
      <c r="W48" s="279">
        <v>3</v>
      </c>
      <c r="X48" s="279">
        <v>2</v>
      </c>
      <c r="Y48" s="279">
        <v>5</v>
      </c>
      <c r="Z48" s="280">
        <v>7</v>
      </c>
      <c r="AA48" s="279">
        <v>1</v>
      </c>
      <c r="AB48" s="279">
        <v>7</v>
      </c>
      <c r="AC48" s="279">
        <v>1</v>
      </c>
      <c r="AD48" s="279" t="s">
        <v>41</v>
      </c>
      <c r="AE48" s="279" t="s">
        <v>41</v>
      </c>
      <c r="AF48" s="279" t="s">
        <v>41</v>
      </c>
      <c r="AG48" s="279" t="s">
        <v>41</v>
      </c>
      <c r="AH48" s="279" t="s">
        <v>41</v>
      </c>
      <c r="AI48" s="279">
        <v>9</v>
      </c>
      <c r="AJ48" s="279">
        <v>5</v>
      </c>
      <c r="AK48" s="280">
        <v>8</v>
      </c>
      <c r="AL48" s="279">
        <v>7</v>
      </c>
      <c r="AM48" s="279">
        <v>8</v>
      </c>
      <c r="AN48" s="280">
        <v>7</v>
      </c>
      <c r="AO48" s="281" t="s">
        <v>41</v>
      </c>
      <c r="AP48" s="280" t="s">
        <v>46</v>
      </c>
      <c r="AQ48" s="282">
        <f t="shared" si="61"/>
        <v>3.5</v>
      </c>
      <c r="AR48" s="283" t="str">
        <f t="shared" si="62"/>
        <v>Minors</v>
      </c>
      <c r="AS48" s="282">
        <f t="shared" si="63"/>
        <v>3.5</v>
      </c>
      <c r="AT48" s="282" t="str">
        <f t="shared" si="64"/>
        <v>Minors</v>
      </c>
      <c r="AU48" s="283">
        <f t="shared" si="65"/>
        <v>3.5</v>
      </c>
      <c r="AV48" s="283" t="str">
        <f t="shared" si="66"/>
        <v>Minors</v>
      </c>
      <c r="AW48" s="284">
        <f t="shared" si="67"/>
        <v>0</v>
      </c>
      <c r="AX48" s="285">
        <f t="shared" si="68"/>
        <v>0</v>
      </c>
      <c r="AY48" s="285">
        <f t="shared" si="69"/>
        <v>0</v>
      </c>
      <c r="AZ48" s="285">
        <f t="shared" si="70"/>
        <v>0</v>
      </c>
      <c r="BA48" s="285">
        <f t="shared" si="71"/>
        <v>0</v>
      </c>
      <c r="BB48" s="285">
        <f t="shared" si="72"/>
        <v>0</v>
      </c>
      <c r="BC48" s="285">
        <f t="shared" si="73"/>
        <v>0</v>
      </c>
      <c r="BD48" s="285">
        <f t="shared" si="74"/>
        <v>0</v>
      </c>
      <c r="BE48" s="280">
        <f t="shared" si="75"/>
        <v>1</v>
      </c>
      <c r="BF48" s="284">
        <f t="shared" si="76"/>
        <v>0</v>
      </c>
      <c r="BG48" s="285">
        <f t="shared" si="77"/>
        <v>0</v>
      </c>
      <c r="BH48" s="285">
        <f t="shared" si="78"/>
        <v>0</v>
      </c>
      <c r="BI48" s="285">
        <f t="shared" si="79"/>
        <v>0</v>
      </c>
      <c r="BJ48" s="285">
        <f t="shared" si="80"/>
        <v>0</v>
      </c>
      <c r="BK48" s="285">
        <f t="shared" si="81"/>
        <v>0</v>
      </c>
      <c r="BL48" s="285">
        <f t="shared" si="82"/>
        <v>0</v>
      </c>
      <c r="BM48" s="285">
        <f t="shared" si="83"/>
        <v>0</v>
      </c>
      <c r="BN48" s="280">
        <f t="shared" si="84"/>
        <v>1</v>
      </c>
      <c r="BO48" s="280">
        <f t="shared" si="85"/>
        <v>3</v>
      </c>
      <c r="BP48" s="286">
        <f t="shared" si="86"/>
        <v>2</v>
      </c>
      <c r="BQ48" s="279" t="str">
        <f t="shared" si="87"/>
        <v/>
      </c>
      <c r="BR48" s="278" t="str">
        <f t="shared" si="88"/>
        <v>Unlikely</v>
      </c>
      <c r="BS48" s="279" t="str">
        <f t="shared" si="89"/>
        <v>aack!</v>
      </c>
      <c r="BT48" s="279" t="str">
        <f t="shared" si="90"/>
        <v>aack!</v>
      </c>
      <c r="BU48" s="279" t="str">
        <f t="shared" si="91"/>
        <v>AAA</v>
      </c>
      <c r="BV48" s="279">
        <f t="shared" si="92"/>
        <v>0</v>
      </c>
      <c r="BW48" s="279">
        <f t="shared" si="93"/>
        <v>0</v>
      </c>
      <c r="BX48" s="279">
        <f t="shared" si="94"/>
        <v>0</v>
      </c>
      <c r="BY48" s="279">
        <f t="shared" si="95"/>
        <v>0</v>
      </c>
      <c r="BZ48" s="279">
        <f t="shared" si="96"/>
        <v>0</v>
      </c>
      <c r="CA48" s="279">
        <f t="shared" si="97"/>
        <v>0</v>
      </c>
      <c r="CB48" s="279">
        <f t="shared" si="98"/>
        <v>12</v>
      </c>
      <c r="CC48" s="279">
        <f t="shared" si="99"/>
        <v>7</v>
      </c>
      <c r="CD48" s="279">
        <f t="shared" si="100"/>
        <v>10</v>
      </c>
      <c r="CE48" s="279" t="str">
        <f t="shared" si="101"/>
        <v>Now - Age</v>
      </c>
      <c r="CF48" s="294" t="str">
        <f t="shared" si="102"/>
        <v/>
      </c>
      <c r="CG48" s="294" t="str">
        <f t="shared" si="103"/>
        <v/>
      </c>
      <c r="CH48" s="294" t="str">
        <f t="shared" si="104"/>
        <v/>
      </c>
      <c r="CI48" s="294" t="str">
        <f t="shared" si="105"/>
        <v/>
      </c>
      <c r="CJ48" s="294" t="str">
        <f t="shared" si="57"/>
        <v/>
      </c>
      <c r="CK48" s="294" t="str">
        <f t="shared" si="106"/>
        <v>X</v>
      </c>
      <c r="CL48" s="294" t="str">
        <f t="shared" si="107"/>
        <v/>
      </c>
      <c r="CM48" s="294" t="str">
        <f t="shared" si="108"/>
        <v>X</v>
      </c>
      <c r="CN48" s="294" t="str">
        <f t="shared" si="109"/>
        <v/>
      </c>
    </row>
    <row r="49" spans="1:92">
      <c r="A49" s="277" t="str">
        <f>IF(ISERROR(VLOOKUP(G49,CON!$C$3:$C$24,1,FALSE)),IF(ISERROR(VLOOKUP(G49,'PSP-AAA'!$C$6:$C$33,1,FALSE)),IF(ISERROR(VLOOKUP(G49,'NH-AA'!$C$6:$C$33,1,FALSE)),IF(ISERROR(VLOOKUP(G49,'CRG-A'!$C$6:$C$33,1,FALSE)),IF(ISERROR(VLOOKUP(G49,'PC-S A'!$C$6:$C$33,1,FALSE)),"","S A"),"A"),"AA"),"AAA"),"ML")</f>
        <v/>
      </c>
      <c r="B49" s="278"/>
      <c r="C49" s="279" t="str">
        <f t="shared" si="58"/>
        <v>-</v>
      </c>
      <c r="D49" s="279" t="str">
        <f t="shared" si="59"/>
        <v>-</v>
      </c>
      <c r="E49" s="279" t="str">
        <f t="shared" si="60"/>
        <v>K</v>
      </c>
      <c r="F49" s="279" t="s">
        <v>97</v>
      </c>
      <c r="G49" s="279" t="s">
        <v>385</v>
      </c>
      <c r="H49" s="279" t="s">
        <v>373</v>
      </c>
      <c r="I49" s="279" t="s">
        <v>210</v>
      </c>
      <c r="J49" s="279">
        <v>25</v>
      </c>
      <c r="K49" s="279" t="s">
        <v>104</v>
      </c>
      <c r="L49" s="279" t="s">
        <v>104</v>
      </c>
      <c r="M49" s="279" t="s">
        <v>47</v>
      </c>
      <c r="N49" s="280" t="s">
        <v>47</v>
      </c>
      <c r="O49" s="279" t="s">
        <v>224</v>
      </c>
      <c r="P49" s="280" t="s">
        <v>226</v>
      </c>
      <c r="Q49" s="279">
        <v>5</v>
      </c>
      <c r="R49" s="279">
        <v>4</v>
      </c>
      <c r="S49" s="279">
        <v>2</v>
      </c>
      <c r="T49" s="279">
        <v>5</v>
      </c>
      <c r="U49" s="280">
        <v>4</v>
      </c>
      <c r="V49" s="279">
        <v>5</v>
      </c>
      <c r="W49" s="279">
        <v>4</v>
      </c>
      <c r="X49" s="279">
        <v>2</v>
      </c>
      <c r="Y49" s="279">
        <v>5</v>
      </c>
      <c r="Z49" s="280">
        <v>4</v>
      </c>
      <c r="AA49" s="279">
        <v>6</v>
      </c>
      <c r="AB49" s="279">
        <v>2</v>
      </c>
      <c r="AC49" s="279">
        <v>1</v>
      </c>
      <c r="AD49" s="279" t="s">
        <v>41</v>
      </c>
      <c r="AE49" s="279">
        <v>8</v>
      </c>
      <c r="AF49" s="279">
        <v>6</v>
      </c>
      <c r="AG49" s="279">
        <v>1</v>
      </c>
      <c r="AH49" s="279">
        <v>9</v>
      </c>
      <c r="AI49" s="279" t="s">
        <v>41</v>
      </c>
      <c r="AJ49" s="279" t="s">
        <v>41</v>
      </c>
      <c r="AK49" s="280" t="s">
        <v>41</v>
      </c>
      <c r="AL49" s="279">
        <v>7</v>
      </c>
      <c r="AM49" s="279">
        <v>8</v>
      </c>
      <c r="AN49" s="280">
        <v>10</v>
      </c>
      <c r="AO49" s="281" t="s">
        <v>41</v>
      </c>
      <c r="AP49" s="280">
        <v>0</v>
      </c>
      <c r="AQ49" s="282">
        <f t="shared" si="61"/>
        <v>3.5</v>
      </c>
      <c r="AR49" s="283" t="str">
        <f t="shared" si="62"/>
        <v>Minors</v>
      </c>
      <c r="AS49" s="282">
        <f t="shared" si="63"/>
        <v>3.5</v>
      </c>
      <c r="AT49" s="282" t="str">
        <f t="shared" si="64"/>
        <v>Minors</v>
      </c>
      <c r="AU49" s="283">
        <f t="shared" si="65"/>
        <v>3.5</v>
      </c>
      <c r="AV49" s="283" t="str">
        <f t="shared" si="66"/>
        <v>Minors</v>
      </c>
      <c r="AW49" s="284">
        <f t="shared" si="67"/>
        <v>0</v>
      </c>
      <c r="AX49" s="285">
        <f t="shared" si="68"/>
        <v>0</v>
      </c>
      <c r="AY49" s="285">
        <f t="shared" si="69"/>
        <v>0</v>
      </c>
      <c r="AZ49" s="285">
        <f t="shared" si="70"/>
        <v>0</v>
      </c>
      <c r="BA49" s="285">
        <f t="shared" si="71"/>
        <v>0</v>
      </c>
      <c r="BB49" s="285">
        <f t="shared" si="72"/>
        <v>0</v>
      </c>
      <c r="BC49" s="285">
        <f t="shared" si="73"/>
        <v>0</v>
      </c>
      <c r="BD49" s="285">
        <f t="shared" si="74"/>
        <v>0</v>
      </c>
      <c r="BE49" s="280">
        <f t="shared" si="75"/>
        <v>0</v>
      </c>
      <c r="BF49" s="284">
        <f t="shared" si="76"/>
        <v>0</v>
      </c>
      <c r="BG49" s="285">
        <f t="shared" si="77"/>
        <v>0</v>
      </c>
      <c r="BH49" s="285">
        <f t="shared" si="78"/>
        <v>0</v>
      </c>
      <c r="BI49" s="285">
        <f t="shared" si="79"/>
        <v>0</v>
      </c>
      <c r="BJ49" s="285">
        <f t="shared" si="80"/>
        <v>0</v>
      </c>
      <c r="BK49" s="285">
        <f t="shared" si="81"/>
        <v>0</v>
      </c>
      <c r="BL49" s="285">
        <f t="shared" si="82"/>
        <v>0</v>
      </c>
      <c r="BM49" s="285">
        <f t="shared" si="83"/>
        <v>0</v>
      </c>
      <c r="BN49" s="280">
        <f t="shared" si="84"/>
        <v>0</v>
      </c>
      <c r="BO49" s="280">
        <f t="shared" si="85"/>
        <v>4</v>
      </c>
      <c r="BP49" s="286">
        <f t="shared" si="86"/>
        <v>2</v>
      </c>
      <c r="BQ49" s="279" t="str">
        <f t="shared" si="87"/>
        <v/>
      </c>
      <c r="BR49" s="278" t="str">
        <f t="shared" si="88"/>
        <v>Unlikely</v>
      </c>
      <c r="BS49" s="279" t="str">
        <f t="shared" si="89"/>
        <v>aack!</v>
      </c>
      <c r="BT49" s="279" t="str">
        <f t="shared" si="90"/>
        <v>aack!</v>
      </c>
      <c r="BU49" s="279" t="str">
        <f t="shared" si="91"/>
        <v>AAA</v>
      </c>
      <c r="BV49" s="279">
        <f t="shared" si="92"/>
        <v>0</v>
      </c>
      <c r="BW49" s="279">
        <f t="shared" si="93"/>
        <v>0</v>
      </c>
      <c r="BX49" s="279">
        <f t="shared" si="94"/>
        <v>0</v>
      </c>
      <c r="BY49" s="279">
        <f t="shared" si="95"/>
        <v>0</v>
      </c>
      <c r="BZ49" s="279">
        <f t="shared" si="96"/>
        <v>0</v>
      </c>
      <c r="CA49" s="279">
        <f t="shared" si="97"/>
        <v>0</v>
      </c>
      <c r="CB49" s="279">
        <f t="shared" si="98"/>
        <v>12</v>
      </c>
      <c r="CC49" s="279">
        <f t="shared" si="99"/>
        <v>7</v>
      </c>
      <c r="CD49" s="279">
        <f t="shared" si="100"/>
        <v>10</v>
      </c>
      <c r="CE49" s="279" t="str">
        <f t="shared" si="101"/>
        <v>Now - Age</v>
      </c>
      <c r="CF49" s="294" t="str">
        <f t="shared" si="102"/>
        <v/>
      </c>
      <c r="CG49" s="294" t="str">
        <f t="shared" si="103"/>
        <v>X</v>
      </c>
      <c r="CH49" s="294" t="str">
        <f t="shared" si="104"/>
        <v>X</v>
      </c>
      <c r="CI49" s="294" t="str">
        <f t="shared" si="105"/>
        <v/>
      </c>
      <c r="CJ49" s="294" t="str">
        <f t="shared" si="57"/>
        <v>X</v>
      </c>
      <c r="CK49" s="294" t="str">
        <f t="shared" si="106"/>
        <v/>
      </c>
      <c r="CL49" s="294" t="str">
        <f t="shared" si="107"/>
        <v/>
      </c>
      <c r="CM49" s="294" t="str">
        <f t="shared" si="108"/>
        <v/>
      </c>
      <c r="CN49" s="294" t="str">
        <f t="shared" si="109"/>
        <v/>
      </c>
    </row>
    <row r="50" spans="1:92">
      <c r="A50" s="277" t="str">
        <f>IF(ISERROR(VLOOKUP(G50,CON!$C$3:$C$24,1,FALSE)),IF(ISERROR(VLOOKUP(G50,'PSP-AAA'!$C$6:$C$33,1,FALSE)),IF(ISERROR(VLOOKUP(G50,'NH-AA'!$C$6:$C$33,1,FALSE)),IF(ISERROR(VLOOKUP(G50,'CRG-A'!$C$6:$C$33,1,FALSE)),IF(ISERROR(VLOOKUP(G50,'PC-S A'!$C$6:$C$33,1,FALSE)),"","S A"),"A"),"AA"),"AAA"),"ML")</f>
        <v>A</v>
      </c>
      <c r="B50" s="278"/>
      <c r="C50" s="279" t="str">
        <f t="shared" si="58"/>
        <v>-</v>
      </c>
      <c r="D50" s="279" t="str">
        <f t="shared" si="59"/>
        <v>-</v>
      </c>
      <c r="E50" s="279" t="str">
        <f t="shared" si="60"/>
        <v>T</v>
      </c>
      <c r="F50" s="279" t="s">
        <v>94</v>
      </c>
      <c r="G50" s="279" t="s">
        <v>466</v>
      </c>
      <c r="H50" s="279" t="s">
        <v>373</v>
      </c>
      <c r="I50" s="279" t="s">
        <v>210</v>
      </c>
      <c r="J50" s="279">
        <v>22</v>
      </c>
      <c r="K50" s="279" t="s">
        <v>104</v>
      </c>
      <c r="L50" s="279" t="s">
        <v>104</v>
      </c>
      <c r="M50" s="279" t="s">
        <v>47</v>
      </c>
      <c r="N50" s="280" t="s">
        <v>47</v>
      </c>
      <c r="O50" s="279" t="s">
        <v>227</v>
      </c>
      <c r="P50" s="280" t="s">
        <v>226</v>
      </c>
      <c r="Q50" s="279">
        <v>5</v>
      </c>
      <c r="R50" s="279">
        <v>5</v>
      </c>
      <c r="S50" s="279">
        <v>3</v>
      </c>
      <c r="T50" s="279">
        <v>3</v>
      </c>
      <c r="U50" s="280">
        <v>3</v>
      </c>
      <c r="V50" s="279">
        <v>6</v>
      </c>
      <c r="W50" s="279">
        <v>6</v>
      </c>
      <c r="X50" s="279">
        <v>6</v>
      </c>
      <c r="Y50" s="279">
        <v>4</v>
      </c>
      <c r="Z50" s="280">
        <v>5</v>
      </c>
      <c r="AA50" s="279">
        <v>2</v>
      </c>
      <c r="AB50" s="279">
        <v>3</v>
      </c>
      <c r="AC50" s="279">
        <v>1</v>
      </c>
      <c r="AD50" s="279" t="s">
        <v>41</v>
      </c>
      <c r="AE50" s="279">
        <v>3</v>
      </c>
      <c r="AF50" s="279" t="s">
        <v>41</v>
      </c>
      <c r="AG50" s="279" t="s">
        <v>41</v>
      </c>
      <c r="AH50" s="279" t="s">
        <v>41</v>
      </c>
      <c r="AI50" s="279" t="s">
        <v>41</v>
      </c>
      <c r="AJ50" s="279" t="s">
        <v>41</v>
      </c>
      <c r="AK50" s="280" t="s">
        <v>41</v>
      </c>
      <c r="AL50" s="279">
        <v>2</v>
      </c>
      <c r="AM50" s="279">
        <v>2</v>
      </c>
      <c r="AN50" s="280">
        <v>2</v>
      </c>
      <c r="AO50" s="281" t="s">
        <v>41</v>
      </c>
      <c r="AP50" s="280">
        <v>0</v>
      </c>
      <c r="AQ50" s="282">
        <f t="shared" si="61"/>
        <v>3.1666666666666665</v>
      </c>
      <c r="AR50" s="283" t="str">
        <f t="shared" si="62"/>
        <v>Minors</v>
      </c>
      <c r="AS50" s="282">
        <f t="shared" si="63"/>
        <v>5.333333333333333</v>
      </c>
      <c r="AT50" s="282" t="str">
        <f t="shared" si="64"/>
        <v>Reg</v>
      </c>
      <c r="AU50" s="283">
        <f t="shared" si="65"/>
        <v>5.333333333333333</v>
      </c>
      <c r="AV50" s="283" t="str">
        <f t="shared" si="66"/>
        <v>Reg</v>
      </c>
      <c r="AW50" s="284">
        <f t="shared" si="67"/>
        <v>0</v>
      </c>
      <c r="AX50" s="285">
        <f t="shared" si="68"/>
        <v>0</v>
      </c>
      <c r="AY50" s="285">
        <f t="shared" si="69"/>
        <v>0</v>
      </c>
      <c r="AZ50" s="285">
        <f t="shared" si="70"/>
        <v>0</v>
      </c>
      <c r="BA50" s="285">
        <f t="shared" si="71"/>
        <v>0</v>
      </c>
      <c r="BB50" s="285">
        <f t="shared" si="72"/>
        <v>0</v>
      </c>
      <c r="BC50" s="285">
        <f t="shared" si="73"/>
        <v>0</v>
      </c>
      <c r="BD50" s="285">
        <f t="shared" si="74"/>
        <v>0</v>
      </c>
      <c r="BE50" s="280">
        <f t="shared" si="75"/>
        <v>0</v>
      </c>
      <c r="BF50" s="284">
        <f t="shared" si="76"/>
        <v>0</v>
      </c>
      <c r="BG50" s="285">
        <f t="shared" si="77"/>
        <v>0</v>
      </c>
      <c r="BH50" s="285">
        <f t="shared" si="78"/>
        <v>0</v>
      </c>
      <c r="BI50" s="285">
        <f t="shared" si="79"/>
        <v>0</v>
      </c>
      <c r="BJ50" s="285">
        <f t="shared" si="80"/>
        <v>0</v>
      </c>
      <c r="BK50" s="285">
        <f t="shared" si="81"/>
        <v>0</v>
      </c>
      <c r="BL50" s="285">
        <f t="shared" si="82"/>
        <v>0</v>
      </c>
      <c r="BM50" s="285">
        <f t="shared" si="83"/>
        <v>0</v>
      </c>
      <c r="BN50" s="280">
        <f t="shared" si="84"/>
        <v>0</v>
      </c>
      <c r="BO50" s="280">
        <f t="shared" si="85"/>
        <v>0</v>
      </c>
      <c r="BP50" s="286">
        <f t="shared" si="86"/>
        <v>0</v>
      </c>
      <c r="BQ50" s="279" t="str">
        <f t="shared" si="87"/>
        <v/>
      </c>
      <c r="BR50" s="278" t="str">
        <f t="shared" si="88"/>
        <v>Possible</v>
      </c>
      <c r="BS50" s="279" t="str">
        <f t="shared" si="89"/>
        <v>aack!</v>
      </c>
      <c r="BT50" s="279" t="str">
        <f t="shared" si="90"/>
        <v>Bench</v>
      </c>
      <c r="BU50" s="279" t="str">
        <f t="shared" si="91"/>
        <v>AAA</v>
      </c>
      <c r="BV50" s="279">
        <f t="shared" si="92"/>
        <v>-1</v>
      </c>
      <c r="BW50" s="279">
        <f t="shared" si="93"/>
        <v>-1</v>
      </c>
      <c r="BX50" s="279">
        <f t="shared" si="94"/>
        <v>-3</v>
      </c>
      <c r="BY50" s="279">
        <f t="shared" si="95"/>
        <v>-1</v>
      </c>
      <c r="BZ50" s="279">
        <f t="shared" si="96"/>
        <v>-2</v>
      </c>
      <c r="CA50" s="279">
        <f t="shared" si="97"/>
        <v>-8</v>
      </c>
      <c r="CB50" s="279">
        <f t="shared" si="98"/>
        <v>16</v>
      </c>
      <c r="CC50" s="279">
        <f t="shared" si="99"/>
        <v>12</v>
      </c>
      <c r="CD50" s="279">
        <f t="shared" si="100"/>
        <v>10</v>
      </c>
      <c r="CE50" s="279">
        <f t="shared" si="101"/>
        <v>1</v>
      </c>
      <c r="CF50" s="294" t="str">
        <f t="shared" si="102"/>
        <v/>
      </c>
      <c r="CG50" s="294" t="str">
        <f t="shared" si="103"/>
        <v/>
      </c>
      <c r="CH50" s="294" t="str">
        <f t="shared" si="104"/>
        <v/>
      </c>
      <c r="CI50" s="294" t="str">
        <f t="shared" si="105"/>
        <v/>
      </c>
      <c r="CJ50" s="294" t="str">
        <f t="shared" si="57"/>
        <v/>
      </c>
      <c r="CK50" s="294" t="str">
        <f t="shared" si="106"/>
        <v/>
      </c>
      <c r="CL50" s="294" t="str">
        <f t="shared" si="107"/>
        <v/>
      </c>
      <c r="CM50" s="294" t="str">
        <f t="shared" si="108"/>
        <v/>
      </c>
      <c r="CN50" s="294" t="str">
        <f t="shared" si="109"/>
        <v>X</v>
      </c>
    </row>
    <row r="51" spans="1:92">
      <c r="A51" s="277" t="str">
        <f>IF(ISERROR(VLOOKUP(G51,CON!$C$3:$C$24,1,FALSE)),IF(ISERROR(VLOOKUP(G51,'PSP-AAA'!$C$6:$C$33,1,FALSE)),IF(ISERROR(VLOOKUP(G51,'NH-AA'!$C$6:$C$33,1,FALSE)),IF(ISERROR(VLOOKUP(G51,'CRG-A'!$C$6:$C$33,1,FALSE)),IF(ISERROR(VLOOKUP(G51,'PC-S A'!$C$6:$C$33,1,FALSE)),"","S A"),"A"),"AA"),"AAA"),"ML")</f>
        <v/>
      </c>
      <c r="B51" s="278"/>
      <c r="C51" s="279" t="str">
        <f t="shared" si="58"/>
        <v>-</v>
      </c>
      <c r="D51" s="279" t="str">
        <f t="shared" si="59"/>
        <v>-</v>
      </c>
      <c r="E51" s="279" t="str">
        <f t="shared" si="60"/>
        <v>K</v>
      </c>
      <c r="F51" s="279" t="s">
        <v>95</v>
      </c>
      <c r="G51" s="279" t="s">
        <v>443</v>
      </c>
      <c r="H51" s="279" t="s">
        <v>373</v>
      </c>
      <c r="I51" s="279" t="s">
        <v>210</v>
      </c>
      <c r="J51" s="279">
        <v>24</v>
      </c>
      <c r="K51" s="279" t="s">
        <v>104</v>
      </c>
      <c r="L51" s="279" t="s">
        <v>104</v>
      </c>
      <c r="M51" s="279" t="s">
        <v>47</v>
      </c>
      <c r="N51" s="280" t="s">
        <v>47</v>
      </c>
      <c r="O51" s="279" t="s">
        <v>223</v>
      </c>
      <c r="P51" s="280" t="s">
        <v>225</v>
      </c>
      <c r="Q51" s="279">
        <v>5</v>
      </c>
      <c r="R51" s="279">
        <v>5</v>
      </c>
      <c r="S51" s="279">
        <v>3</v>
      </c>
      <c r="T51" s="279">
        <v>3</v>
      </c>
      <c r="U51" s="280">
        <v>4</v>
      </c>
      <c r="V51" s="279">
        <v>5</v>
      </c>
      <c r="W51" s="279">
        <v>5</v>
      </c>
      <c r="X51" s="279">
        <v>3</v>
      </c>
      <c r="Y51" s="279">
        <v>4</v>
      </c>
      <c r="Z51" s="280">
        <v>5</v>
      </c>
      <c r="AA51" s="279">
        <v>10</v>
      </c>
      <c r="AB51" s="279">
        <v>2</v>
      </c>
      <c r="AC51" s="279">
        <v>1</v>
      </c>
      <c r="AD51" s="279" t="s">
        <v>41</v>
      </c>
      <c r="AE51" s="279">
        <v>10</v>
      </c>
      <c r="AF51" s="279">
        <v>8</v>
      </c>
      <c r="AG51" s="279">
        <v>6</v>
      </c>
      <c r="AH51" s="279">
        <v>5</v>
      </c>
      <c r="AI51" s="279" t="s">
        <v>41</v>
      </c>
      <c r="AJ51" s="279" t="s">
        <v>41</v>
      </c>
      <c r="AK51" s="280" t="s">
        <v>41</v>
      </c>
      <c r="AL51" s="279">
        <v>4</v>
      </c>
      <c r="AM51" s="279">
        <v>5</v>
      </c>
      <c r="AN51" s="280">
        <v>7</v>
      </c>
      <c r="AO51" s="281" t="s">
        <v>41</v>
      </c>
      <c r="AP51" s="280" t="s">
        <v>45</v>
      </c>
      <c r="AQ51" s="282">
        <f t="shared" si="61"/>
        <v>3.1666666666666665</v>
      </c>
      <c r="AR51" s="283" t="str">
        <f t="shared" si="62"/>
        <v>Minors</v>
      </c>
      <c r="AS51" s="282">
        <f t="shared" si="63"/>
        <v>3.5</v>
      </c>
      <c r="AT51" s="282" t="str">
        <f t="shared" si="64"/>
        <v>Minors</v>
      </c>
      <c r="AU51" s="283">
        <f t="shared" si="65"/>
        <v>3.5</v>
      </c>
      <c r="AV51" s="283" t="str">
        <f t="shared" si="66"/>
        <v>Minors</v>
      </c>
      <c r="AW51" s="284">
        <f t="shared" si="67"/>
        <v>0</v>
      </c>
      <c r="AX51" s="285">
        <f t="shared" si="68"/>
        <v>0</v>
      </c>
      <c r="AY51" s="285">
        <f t="shared" si="69"/>
        <v>0</v>
      </c>
      <c r="AZ51" s="285">
        <f t="shared" si="70"/>
        <v>0</v>
      </c>
      <c r="BA51" s="285">
        <f t="shared" si="71"/>
        <v>0</v>
      </c>
      <c r="BB51" s="285">
        <f t="shared" si="72"/>
        <v>0</v>
      </c>
      <c r="BC51" s="285">
        <f t="shared" si="73"/>
        <v>0</v>
      </c>
      <c r="BD51" s="285">
        <f t="shared" si="74"/>
        <v>0</v>
      </c>
      <c r="BE51" s="280">
        <f t="shared" si="75"/>
        <v>0</v>
      </c>
      <c r="BF51" s="284">
        <f t="shared" si="76"/>
        <v>0</v>
      </c>
      <c r="BG51" s="285">
        <f t="shared" si="77"/>
        <v>0</v>
      </c>
      <c r="BH51" s="285">
        <f t="shared" si="78"/>
        <v>0</v>
      </c>
      <c r="BI51" s="285">
        <f t="shared" si="79"/>
        <v>0</v>
      </c>
      <c r="BJ51" s="285">
        <f t="shared" si="80"/>
        <v>0</v>
      </c>
      <c r="BK51" s="285">
        <f t="shared" si="81"/>
        <v>0</v>
      </c>
      <c r="BL51" s="285">
        <f t="shared" si="82"/>
        <v>0</v>
      </c>
      <c r="BM51" s="285">
        <f t="shared" si="83"/>
        <v>0</v>
      </c>
      <c r="BN51" s="280">
        <f t="shared" si="84"/>
        <v>0</v>
      </c>
      <c r="BO51" s="280">
        <f t="shared" si="85"/>
        <v>1</v>
      </c>
      <c r="BP51" s="286">
        <f t="shared" si="86"/>
        <v>2</v>
      </c>
      <c r="BQ51" s="279" t="str">
        <f t="shared" si="87"/>
        <v/>
      </c>
      <c r="BR51" s="278" t="str">
        <f t="shared" si="88"/>
        <v>Unlikely</v>
      </c>
      <c r="BS51" s="279" t="str">
        <f t="shared" si="89"/>
        <v>aack!</v>
      </c>
      <c r="BT51" s="279" t="str">
        <f t="shared" si="90"/>
        <v>aack!</v>
      </c>
      <c r="BU51" s="279" t="str">
        <f t="shared" si="91"/>
        <v>AAA</v>
      </c>
      <c r="BV51" s="279">
        <f t="shared" si="92"/>
        <v>0</v>
      </c>
      <c r="BW51" s="279">
        <f t="shared" si="93"/>
        <v>0</v>
      </c>
      <c r="BX51" s="279">
        <f t="shared" si="94"/>
        <v>0</v>
      </c>
      <c r="BY51" s="279">
        <f t="shared" si="95"/>
        <v>-1</v>
      </c>
      <c r="BZ51" s="279">
        <f t="shared" si="96"/>
        <v>-1</v>
      </c>
      <c r="CA51" s="279">
        <f t="shared" si="97"/>
        <v>-2</v>
      </c>
      <c r="CB51" s="279">
        <f t="shared" si="98"/>
        <v>12</v>
      </c>
      <c r="CC51" s="279">
        <f t="shared" si="99"/>
        <v>8</v>
      </c>
      <c r="CD51" s="279">
        <f t="shared" si="100"/>
        <v>9</v>
      </c>
      <c r="CE51" s="279" t="str">
        <f t="shared" si="101"/>
        <v>With Dev</v>
      </c>
      <c r="CF51" s="294" t="str">
        <f t="shared" si="102"/>
        <v/>
      </c>
      <c r="CG51" s="294" t="str">
        <f t="shared" si="103"/>
        <v>X</v>
      </c>
      <c r="CH51" s="294" t="str">
        <f t="shared" si="104"/>
        <v>X</v>
      </c>
      <c r="CI51" s="294" t="str">
        <f t="shared" si="105"/>
        <v>X</v>
      </c>
      <c r="CJ51" s="294" t="str">
        <f t="shared" si="57"/>
        <v/>
      </c>
      <c r="CK51" s="294" t="str">
        <f t="shared" si="106"/>
        <v/>
      </c>
      <c r="CL51" s="294" t="str">
        <f t="shared" si="107"/>
        <v/>
      </c>
      <c r="CM51" s="294" t="str">
        <f t="shared" si="108"/>
        <v/>
      </c>
      <c r="CN51" s="294" t="str">
        <f t="shared" si="109"/>
        <v/>
      </c>
    </row>
    <row r="52" spans="1:92">
      <c r="A52" s="277" t="str">
        <f>IF(ISERROR(VLOOKUP(G52,CON!$C$3:$C$24,1,FALSE)),IF(ISERROR(VLOOKUP(G52,'PSP-AAA'!$C$6:$C$33,1,FALSE)),IF(ISERROR(VLOOKUP(G52,'NH-AA'!$C$6:$C$33,1,FALSE)),IF(ISERROR(VLOOKUP(G52,'CRG-A'!$C$6:$C$33,1,FALSE)),IF(ISERROR(VLOOKUP(G52,'PC-S A'!$C$6:$C$33,1,FALSE)),"","S A"),"A"),"AA"),"AAA"),"ML")</f>
        <v/>
      </c>
      <c r="B52" s="278"/>
      <c r="C52" s="279" t="str">
        <f t="shared" si="58"/>
        <v>-</v>
      </c>
      <c r="D52" s="279" t="str">
        <f t="shared" si="59"/>
        <v>-</v>
      </c>
      <c r="E52" s="279" t="str">
        <f t="shared" si="60"/>
        <v>K</v>
      </c>
      <c r="F52" s="279" t="s">
        <v>97</v>
      </c>
      <c r="G52" s="279" t="s">
        <v>444</v>
      </c>
      <c r="H52" s="279" t="s">
        <v>371</v>
      </c>
      <c r="I52" s="279" t="s">
        <v>208</v>
      </c>
      <c r="J52" s="279">
        <v>26</v>
      </c>
      <c r="K52" s="279" t="s">
        <v>104</v>
      </c>
      <c r="L52" s="279" t="s">
        <v>104</v>
      </c>
      <c r="M52" s="279" t="s">
        <v>47</v>
      </c>
      <c r="N52" s="280" t="s">
        <v>47</v>
      </c>
      <c r="O52" s="279" t="s">
        <v>224</v>
      </c>
      <c r="P52" s="280" t="s">
        <v>226</v>
      </c>
      <c r="Q52" s="279">
        <v>5</v>
      </c>
      <c r="R52" s="279">
        <v>5</v>
      </c>
      <c r="S52" s="279">
        <v>2</v>
      </c>
      <c r="T52" s="279">
        <v>4</v>
      </c>
      <c r="U52" s="280">
        <v>4</v>
      </c>
      <c r="V52" s="279">
        <v>5</v>
      </c>
      <c r="W52" s="279">
        <v>5</v>
      </c>
      <c r="X52" s="279">
        <v>2</v>
      </c>
      <c r="Y52" s="279">
        <v>5</v>
      </c>
      <c r="Z52" s="280">
        <v>4</v>
      </c>
      <c r="AA52" s="279">
        <v>5</v>
      </c>
      <c r="AB52" s="279">
        <v>3</v>
      </c>
      <c r="AC52" s="279">
        <v>1</v>
      </c>
      <c r="AD52" s="279" t="s">
        <v>41</v>
      </c>
      <c r="AE52" s="279">
        <v>10</v>
      </c>
      <c r="AF52" s="279">
        <v>7</v>
      </c>
      <c r="AG52" s="279">
        <v>4</v>
      </c>
      <c r="AH52" s="279">
        <v>8</v>
      </c>
      <c r="AI52" s="279" t="s">
        <v>41</v>
      </c>
      <c r="AJ52" s="279" t="s">
        <v>41</v>
      </c>
      <c r="AK52" s="280" t="s">
        <v>41</v>
      </c>
      <c r="AL52" s="279">
        <v>5</v>
      </c>
      <c r="AM52" s="279">
        <v>8</v>
      </c>
      <c r="AN52" s="280">
        <v>8</v>
      </c>
      <c r="AO52" s="281" t="s">
        <v>41</v>
      </c>
      <c r="AP52" s="280" t="s">
        <v>45</v>
      </c>
      <c r="AQ52" s="282">
        <f t="shared" si="61"/>
        <v>3.1666666666666665</v>
      </c>
      <c r="AR52" s="283" t="str">
        <f t="shared" si="62"/>
        <v>Minors</v>
      </c>
      <c r="AS52" s="282">
        <f t="shared" si="63"/>
        <v>3.5</v>
      </c>
      <c r="AT52" s="282" t="str">
        <f t="shared" si="64"/>
        <v>Minors</v>
      </c>
      <c r="AU52" s="283">
        <f t="shared" si="65"/>
        <v>3.1666666666666665</v>
      </c>
      <c r="AV52" s="283" t="str">
        <f t="shared" si="66"/>
        <v>Minors</v>
      </c>
      <c r="AW52" s="284">
        <f t="shared" si="67"/>
        <v>0</v>
      </c>
      <c r="AX52" s="285">
        <f t="shared" si="68"/>
        <v>0</v>
      </c>
      <c r="AY52" s="285">
        <f t="shared" si="69"/>
        <v>0</v>
      </c>
      <c r="AZ52" s="285">
        <f t="shared" si="70"/>
        <v>0</v>
      </c>
      <c r="BA52" s="285">
        <f t="shared" si="71"/>
        <v>0</v>
      </c>
      <c r="BB52" s="285">
        <f t="shared" si="72"/>
        <v>0</v>
      </c>
      <c r="BC52" s="285">
        <f t="shared" si="73"/>
        <v>0</v>
      </c>
      <c r="BD52" s="285">
        <f t="shared" si="74"/>
        <v>0</v>
      </c>
      <c r="BE52" s="280">
        <f t="shared" si="75"/>
        <v>0</v>
      </c>
      <c r="BF52" s="284">
        <f t="shared" si="76"/>
        <v>0</v>
      </c>
      <c r="BG52" s="285">
        <f t="shared" si="77"/>
        <v>0</v>
      </c>
      <c r="BH52" s="285">
        <f t="shared" si="78"/>
        <v>0</v>
      </c>
      <c r="BI52" s="285">
        <f t="shared" si="79"/>
        <v>0</v>
      </c>
      <c r="BJ52" s="285">
        <f t="shared" si="80"/>
        <v>0</v>
      </c>
      <c r="BK52" s="285">
        <f t="shared" si="81"/>
        <v>0</v>
      </c>
      <c r="BL52" s="285">
        <f t="shared" si="82"/>
        <v>0</v>
      </c>
      <c r="BM52" s="285">
        <f t="shared" si="83"/>
        <v>0</v>
      </c>
      <c r="BN52" s="280">
        <f t="shared" si="84"/>
        <v>0</v>
      </c>
      <c r="BO52" s="280">
        <f t="shared" si="85"/>
        <v>2</v>
      </c>
      <c r="BP52" s="286">
        <f t="shared" si="86"/>
        <v>2</v>
      </c>
      <c r="BQ52" s="279" t="str">
        <f t="shared" si="87"/>
        <v/>
      </c>
      <c r="BR52" s="278" t="str">
        <f t="shared" si="88"/>
        <v>Unlikely</v>
      </c>
      <c r="BS52" s="279" t="str">
        <f t="shared" si="89"/>
        <v>aack!</v>
      </c>
      <c r="BT52" s="279" t="str">
        <f t="shared" si="90"/>
        <v>aack!</v>
      </c>
      <c r="BU52" s="279" t="str">
        <f t="shared" si="91"/>
        <v>AAA</v>
      </c>
      <c r="BV52" s="279">
        <f t="shared" si="92"/>
        <v>0</v>
      </c>
      <c r="BW52" s="279">
        <f t="shared" si="93"/>
        <v>0</v>
      </c>
      <c r="BX52" s="279">
        <f t="shared" si="94"/>
        <v>0</v>
      </c>
      <c r="BY52" s="279">
        <f t="shared" si="95"/>
        <v>-1</v>
      </c>
      <c r="BZ52" s="279">
        <f t="shared" si="96"/>
        <v>0</v>
      </c>
      <c r="CA52" s="279">
        <f t="shared" si="97"/>
        <v>-1</v>
      </c>
      <c r="CB52" s="279">
        <f t="shared" si="98"/>
        <v>12</v>
      </c>
      <c r="CC52" s="279">
        <f t="shared" si="99"/>
        <v>7</v>
      </c>
      <c r="CD52" s="279">
        <f t="shared" si="100"/>
        <v>10</v>
      </c>
      <c r="CE52" s="279" t="str">
        <f t="shared" si="101"/>
        <v>Now - Age</v>
      </c>
      <c r="CF52" s="294" t="str">
        <f t="shared" si="102"/>
        <v/>
      </c>
      <c r="CG52" s="294" t="str">
        <f t="shared" si="103"/>
        <v>X</v>
      </c>
      <c r="CH52" s="294" t="str">
        <f t="shared" si="104"/>
        <v>X</v>
      </c>
      <c r="CI52" s="294" t="str">
        <f t="shared" si="105"/>
        <v/>
      </c>
      <c r="CJ52" s="294" t="str">
        <f t="shared" ref="CJ52:CJ74" si="110">IF(AND(AH52&lt;&gt;"-",AH52&gt;5,AA52&gt;5),"X","")</f>
        <v/>
      </c>
      <c r="CK52" s="294" t="str">
        <f t="shared" si="106"/>
        <v/>
      </c>
      <c r="CL52" s="294" t="str">
        <f t="shared" si="107"/>
        <v/>
      </c>
      <c r="CM52" s="294" t="str">
        <f t="shared" si="108"/>
        <v/>
      </c>
      <c r="CN52" s="294" t="str">
        <f t="shared" si="109"/>
        <v/>
      </c>
    </row>
    <row r="53" spans="1:92">
      <c r="A53" s="277" t="str">
        <f>IF(ISERROR(VLOOKUP(G53,CON!$C$3:$C$24,1,FALSE)),IF(ISERROR(VLOOKUP(G53,'PSP-AAA'!$C$6:$C$33,1,FALSE)),IF(ISERROR(VLOOKUP(G53,'NH-AA'!$C$6:$C$33,1,FALSE)),IF(ISERROR(VLOOKUP(G53,'CRG-A'!$C$6:$C$33,1,FALSE)),IF(ISERROR(VLOOKUP(G53,'PC-S A'!$C$6:$C$33,1,FALSE)),"","S A"),"A"),"AA"),"AAA"),"ML")</f>
        <v/>
      </c>
      <c r="B53" s="278"/>
      <c r="C53" s="279">
        <f t="shared" si="58"/>
        <v>8</v>
      </c>
      <c r="D53" s="279">
        <f t="shared" si="59"/>
        <v>8</v>
      </c>
      <c r="E53" s="279" t="str">
        <f t="shared" si="60"/>
        <v>K</v>
      </c>
      <c r="F53" s="279" t="s">
        <v>92</v>
      </c>
      <c r="G53" s="279" t="s">
        <v>439</v>
      </c>
      <c r="H53" s="279" t="s">
        <v>373</v>
      </c>
      <c r="I53" s="279" t="s">
        <v>210</v>
      </c>
      <c r="J53" s="279">
        <v>25</v>
      </c>
      <c r="K53" s="279" t="s">
        <v>104</v>
      </c>
      <c r="L53" s="279" t="s">
        <v>104</v>
      </c>
      <c r="M53" s="279" t="s">
        <v>47</v>
      </c>
      <c r="N53" s="280" t="s">
        <v>47</v>
      </c>
      <c r="O53" s="279" t="s">
        <v>225</v>
      </c>
      <c r="P53" s="280" t="s">
        <v>223</v>
      </c>
      <c r="Q53" s="279">
        <v>5</v>
      </c>
      <c r="R53" s="279">
        <v>9</v>
      </c>
      <c r="S53" s="279">
        <v>3</v>
      </c>
      <c r="T53" s="279">
        <v>3</v>
      </c>
      <c r="U53" s="280">
        <v>4</v>
      </c>
      <c r="V53" s="279">
        <v>5</v>
      </c>
      <c r="W53" s="279">
        <v>9</v>
      </c>
      <c r="X53" s="279">
        <v>3</v>
      </c>
      <c r="Y53" s="279">
        <v>3</v>
      </c>
      <c r="Z53" s="280">
        <v>4</v>
      </c>
      <c r="AA53" s="279">
        <v>6</v>
      </c>
      <c r="AB53" s="279">
        <v>7</v>
      </c>
      <c r="AC53" s="279">
        <v>8</v>
      </c>
      <c r="AD53" s="279">
        <v>10</v>
      </c>
      <c r="AE53" s="279" t="s">
        <v>41</v>
      </c>
      <c r="AF53" s="279" t="s">
        <v>41</v>
      </c>
      <c r="AG53" s="279" t="s">
        <v>41</v>
      </c>
      <c r="AH53" s="279" t="s">
        <v>41</v>
      </c>
      <c r="AI53" s="279" t="s">
        <v>41</v>
      </c>
      <c r="AJ53" s="279" t="s">
        <v>41</v>
      </c>
      <c r="AK53" s="280" t="s">
        <v>41</v>
      </c>
      <c r="AL53" s="279">
        <v>2</v>
      </c>
      <c r="AM53" s="279">
        <v>2</v>
      </c>
      <c r="AN53" s="280">
        <v>1</v>
      </c>
      <c r="AO53" s="281" t="s">
        <v>41</v>
      </c>
      <c r="AP53" s="280" t="s">
        <v>45</v>
      </c>
      <c r="AQ53" s="282">
        <f t="shared" si="61"/>
        <v>3.1666666666666665</v>
      </c>
      <c r="AR53" s="283" t="str">
        <f t="shared" si="62"/>
        <v>Minors</v>
      </c>
      <c r="AS53" s="282">
        <f t="shared" si="63"/>
        <v>3.1666666666666665</v>
      </c>
      <c r="AT53" s="282" t="str">
        <f t="shared" si="64"/>
        <v>Minors</v>
      </c>
      <c r="AU53" s="283">
        <f t="shared" si="65"/>
        <v>3.1666666666666665</v>
      </c>
      <c r="AV53" s="283" t="str">
        <f t="shared" si="66"/>
        <v>Minors</v>
      </c>
      <c r="AW53" s="284">
        <f t="shared" si="67"/>
        <v>0</v>
      </c>
      <c r="AX53" s="285">
        <f t="shared" si="68"/>
        <v>0</v>
      </c>
      <c r="AY53" s="285">
        <f t="shared" si="69"/>
        <v>0</v>
      </c>
      <c r="AZ53" s="285">
        <f t="shared" si="70"/>
        <v>0</v>
      </c>
      <c r="BA53" s="285">
        <f t="shared" si="71"/>
        <v>0</v>
      </c>
      <c r="BB53" s="285">
        <f t="shared" si="72"/>
        <v>0</v>
      </c>
      <c r="BC53" s="285">
        <f t="shared" si="73"/>
        <v>0</v>
      </c>
      <c r="BD53" s="285">
        <f t="shared" si="74"/>
        <v>1</v>
      </c>
      <c r="BE53" s="280">
        <f t="shared" si="75"/>
        <v>1</v>
      </c>
      <c r="BF53" s="284">
        <f t="shared" si="76"/>
        <v>0</v>
      </c>
      <c r="BG53" s="285">
        <f t="shared" si="77"/>
        <v>0</v>
      </c>
      <c r="BH53" s="285">
        <f t="shared" si="78"/>
        <v>0</v>
      </c>
      <c r="BI53" s="285">
        <f t="shared" si="79"/>
        <v>0</v>
      </c>
      <c r="BJ53" s="285">
        <f t="shared" si="80"/>
        <v>0</v>
      </c>
      <c r="BK53" s="285">
        <f t="shared" si="81"/>
        <v>0</v>
      </c>
      <c r="BL53" s="285">
        <f t="shared" si="82"/>
        <v>0</v>
      </c>
      <c r="BM53" s="285">
        <f t="shared" si="83"/>
        <v>1</v>
      </c>
      <c r="BN53" s="280">
        <f t="shared" si="84"/>
        <v>1</v>
      </c>
      <c r="BO53" s="280">
        <f t="shared" si="85"/>
        <v>0</v>
      </c>
      <c r="BP53" s="286">
        <f t="shared" si="86"/>
        <v>2</v>
      </c>
      <c r="BQ53" s="279" t="str">
        <f t="shared" si="87"/>
        <v/>
      </c>
      <c r="BR53" s="278" t="str">
        <f t="shared" si="88"/>
        <v>Unlikely</v>
      </c>
      <c r="BS53" s="279" t="str">
        <f t="shared" si="89"/>
        <v>aack!</v>
      </c>
      <c r="BT53" s="279" t="str">
        <f t="shared" si="90"/>
        <v>aack!</v>
      </c>
      <c r="BU53" s="279" t="str">
        <f t="shared" si="91"/>
        <v>AAA</v>
      </c>
      <c r="BV53" s="279">
        <f t="shared" si="92"/>
        <v>0</v>
      </c>
      <c r="BW53" s="279">
        <f t="shared" si="93"/>
        <v>0</v>
      </c>
      <c r="BX53" s="279">
        <f t="shared" si="94"/>
        <v>0</v>
      </c>
      <c r="BY53" s="279">
        <f t="shared" si="95"/>
        <v>0</v>
      </c>
      <c r="BZ53" s="279">
        <f t="shared" si="96"/>
        <v>0</v>
      </c>
      <c r="CA53" s="279">
        <f t="shared" si="97"/>
        <v>0</v>
      </c>
      <c r="CB53" s="279">
        <f t="shared" si="98"/>
        <v>11</v>
      </c>
      <c r="CC53" s="279">
        <f t="shared" si="99"/>
        <v>8</v>
      </c>
      <c r="CD53" s="279">
        <f t="shared" si="100"/>
        <v>8</v>
      </c>
      <c r="CE53" s="279" t="str">
        <f t="shared" si="101"/>
        <v>Now - Age</v>
      </c>
      <c r="CF53" s="294" t="str">
        <f t="shared" si="102"/>
        <v>X</v>
      </c>
      <c r="CG53" s="294" t="str">
        <f t="shared" si="103"/>
        <v/>
      </c>
      <c r="CH53" s="294" t="str">
        <f t="shared" si="104"/>
        <v/>
      </c>
      <c r="CI53" s="294" t="str">
        <f t="shared" si="105"/>
        <v/>
      </c>
      <c r="CJ53" s="294" t="str">
        <f t="shared" si="110"/>
        <v/>
      </c>
      <c r="CK53" s="294" t="str">
        <f t="shared" si="106"/>
        <v/>
      </c>
      <c r="CL53" s="294" t="str">
        <f t="shared" si="107"/>
        <v/>
      </c>
      <c r="CM53" s="294" t="str">
        <f t="shared" si="108"/>
        <v/>
      </c>
      <c r="CN53" s="294" t="str">
        <f t="shared" si="109"/>
        <v/>
      </c>
    </row>
    <row r="54" spans="1:92">
      <c r="A54" s="277" t="str">
        <f>IF(ISERROR(VLOOKUP(G54,CON!$C$3:$C$24,1,FALSE)),IF(ISERROR(VLOOKUP(G54,'PSP-AAA'!$C$6:$C$33,1,FALSE)),IF(ISERROR(VLOOKUP(G54,'NH-AA'!$C$6:$C$33,1,FALSE)),IF(ISERROR(VLOOKUP(G54,'CRG-A'!$C$6:$C$33,1,FALSE)),IF(ISERROR(VLOOKUP(G54,'PC-S A'!$C$6:$C$33,1,FALSE)),"","S A"),"A"),"AA"),"AAA"),"ML")</f>
        <v/>
      </c>
      <c r="B54" s="278"/>
      <c r="C54" s="279">
        <f t="shared" si="58"/>
        <v>7</v>
      </c>
      <c r="D54" s="279" t="str">
        <f t="shared" si="59"/>
        <v>-</v>
      </c>
      <c r="E54" s="279" t="str">
        <f t="shared" si="60"/>
        <v>K</v>
      </c>
      <c r="F54" s="279" t="s">
        <v>92</v>
      </c>
      <c r="G54" s="279" t="s">
        <v>401</v>
      </c>
      <c r="H54" s="279" t="s">
        <v>370</v>
      </c>
      <c r="I54" s="279" t="s">
        <v>316</v>
      </c>
      <c r="J54" s="279">
        <v>20</v>
      </c>
      <c r="K54" s="279" t="s">
        <v>104</v>
      </c>
      <c r="L54" s="279" t="s">
        <v>104</v>
      </c>
      <c r="M54" s="279" t="s">
        <v>47</v>
      </c>
      <c r="N54" s="280" t="s">
        <v>47</v>
      </c>
      <c r="O54" s="279" t="s">
        <v>224</v>
      </c>
      <c r="P54" s="280" t="s">
        <v>226</v>
      </c>
      <c r="Q54" s="279">
        <v>4</v>
      </c>
      <c r="R54" s="279">
        <v>3</v>
      </c>
      <c r="S54" s="279">
        <v>4</v>
      </c>
      <c r="T54" s="279">
        <v>4</v>
      </c>
      <c r="U54" s="280">
        <v>4</v>
      </c>
      <c r="V54" s="279">
        <v>5</v>
      </c>
      <c r="W54" s="279">
        <v>4</v>
      </c>
      <c r="X54" s="279">
        <v>7</v>
      </c>
      <c r="Y54" s="279">
        <v>6</v>
      </c>
      <c r="Z54" s="280">
        <v>5</v>
      </c>
      <c r="AA54" s="279">
        <v>5</v>
      </c>
      <c r="AB54" s="279">
        <v>5</v>
      </c>
      <c r="AC54" s="279">
        <v>6</v>
      </c>
      <c r="AD54" s="279">
        <v>4</v>
      </c>
      <c r="AE54" s="279" t="s">
        <v>41</v>
      </c>
      <c r="AF54" s="279" t="s">
        <v>41</v>
      </c>
      <c r="AG54" s="279" t="s">
        <v>41</v>
      </c>
      <c r="AH54" s="279" t="s">
        <v>41</v>
      </c>
      <c r="AI54" s="279" t="s">
        <v>41</v>
      </c>
      <c r="AJ54" s="279" t="s">
        <v>41</v>
      </c>
      <c r="AK54" s="280" t="s">
        <v>41</v>
      </c>
      <c r="AL54" s="279">
        <v>1</v>
      </c>
      <c r="AM54" s="279">
        <v>1</v>
      </c>
      <c r="AN54" s="280">
        <v>2</v>
      </c>
      <c r="AO54" s="281" t="s">
        <v>41</v>
      </c>
      <c r="AP54" s="280">
        <v>0</v>
      </c>
      <c r="AQ54" s="282">
        <f t="shared" si="61"/>
        <v>3</v>
      </c>
      <c r="AR54" s="283" t="str">
        <f t="shared" si="62"/>
        <v>Minors</v>
      </c>
      <c r="AS54" s="282">
        <f t="shared" si="63"/>
        <v>5.5</v>
      </c>
      <c r="AT54" s="282" t="str">
        <f t="shared" si="64"/>
        <v>Reg</v>
      </c>
      <c r="AU54" s="283">
        <f t="shared" si="65"/>
        <v>5.5</v>
      </c>
      <c r="AV54" s="283" t="str">
        <f t="shared" si="66"/>
        <v>Reg</v>
      </c>
      <c r="AW54" s="284">
        <f t="shared" si="67"/>
        <v>0</v>
      </c>
      <c r="AX54" s="285">
        <f t="shared" si="68"/>
        <v>0</v>
      </c>
      <c r="AY54" s="285">
        <f t="shared" si="69"/>
        <v>0</v>
      </c>
      <c r="AZ54" s="285">
        <f t="shared" si="70"/>
        <v>0</v>
      </c>
      <c r="BA54" s="285">
        <f t="shared" si="71"/>
        <v>0</v>
      </c>
      <c r="BB54" s="285">
        <f t="shared" si="72"/>
        <v>0</v>
      </c>
      <c r="BC54" s="285">
        <f t="shared" si="73"/>
        <v>0</v>
      </c>
      <c r="BD54" s="285">
        <f t="shared" si="74"/>
        <v>0</v>
      </c>
      <c r="BE54" s="280">
        <f t="shared" si="75"/>
        <v>0</v>
      </c>
      <c r="BF54" s="284">
        <f t="shared" si="76"/>
        <v>0</v>
      </c>
      <c r="BG54" s="285">
        <f t="shared" si="77"/>
        <v>0</v>
      </c>
      <c r="BH54" s="285">
        <f t="shared" si="78"/>
        <v>0</v>
      </c>
      <c r="BI54" s="285">
        <f t="shared" si="79"/>
        <v>0</v>
      </c>
      <c r="BJ54" s="285">
        <f t="shared" si="80"/>
        <v>0</v>
      </c>
      <c r="BK54" s="285">
        <f t="shared" si="81"/>
        <v>0</v>
      </c>
      <c r="BL54" s="285">
        <f t="shared" si="82"/>
        <v>1</v>
      </c>
      <c r="BM54" s="285">
        <f t="shared" si="83"/>
        <v>1</v>
      </c>
      <c r="BN54" s="280">
        <f t="shared" si="84"/>
        <v>1</v>
      </c>
      <c r="BO54" s="280">
        <f t="shared" si="85"/>
        <v>0</v>
      </c>
      <c r="BP54" s="286">
        <f t="shared" si="86"/>
        <v>0</v>
      </c>
      <c r="BQ54" s="279" t="str">
        <f t="shared" si="87"/>
        <v/>
      </c>
      <c r="BR54" s="278" t="str">
        <f t="shared" si="88"/>
        <v>Possible</v>
      </c>
      <c r="BS54" s="279" t="str">
        <f t="shared" si="89"/>
        <v>aack!</v>
      </c>
      <c r="BT54" s="279" t="str">
        <f t="shared" si="90"/>
        <v>Bench</v>
      </c>
      <c r="BU54" s="279" t="str">
        <f t="shared" si="91"/>
        <v>AA</v>
      </c>
      <c r="BV54" s="279">
        <f t="shared" si="92"/>
        <v>-1</v>
      </c>
      <c r="BW54" s="279">
        <f t="shared" si="93"/>
        <v>-1</v>
      </c>
      <c r="BX54" s="279">
        <f t="shared" si="94"/>
        <v>-3</v>
      </c>
      <c r="BY54" s="279">
        <f t="shared" si="95"/>
        <v>-2</v>
      </c>
      <c r="BZ54" s="279">
        <f t="shared" si="96"/>
        <v>-1</v>
      </c>
      <c r="CA54" s="279">
        <f t="shared" si="97"/>
        <v>-8</v>
      </c>
      <c r="CB54" s="279">
        <f t="shared" si="98"/>
        <v>18</v>
      </c>
      <c r="CC54" s="279">
        <f t="shared" si="99"/>
        <v>12</v>
      </c>
      <c r="CD54" s="279">
        <f t="shared" si="100"/>
        <v>11</v>
      </c>
      <c r="CE54" s="279" t="str">
        <f t="shared" si="101"/>
        <v>With Dev</v>
      </c>
      <c r="CF54" s="294" t="str">
        <f t="shared" si="102"/>
        <v>X</v>
      </c>
      <c r="CG54" s="294" t="str">
        <f t="shared" si="103"/>
        <v/>
      </c>
      <c r="CH54" s="294" t="str">
        <f t="shared" si="104"/>
        <v/>
      </c>
      <c r="CI54" s="294" t="str">
        <f t="shared" si="105"/>
        <v/>
      </c>
      <c r="CJ54" s="294" t="str">
        <f t="shared" si="110"/>
        <v/>
      </c>
      <c r="CK54" s="294" t="str">
        <f t="shared" si="106"/>
        <v/>
      </c>
      <c r="CL54" s="294" t="str">
        <f t="shared" si="107"/>
        <v/>
      </c>
      <c r="CM54" s="294" t="str">
        <f t="shared" si="108"/>
        <v/>
      </c>
      <c r="CN54" s="294" t="str">
        <f t="shared" si="109"/>
        <v/>
      </c>
    </row>
    <row r="55" spans="1:92">
      <c r="A55" s="277" t="str">
        <f>IF(ISERROR(VLOOKUP(G55,CON!$C$3:$C$24,1,FALSE)),IF(ISERROR(VLOOKUP(G55,'PSP-AAA'!$C$6:$C$33,1,FALSE)),IF(ISERROR(VLOOKUP(G55,'NH-AA'!$C$6:$C$33,1,FALSE)),IF(ISERROR(VLOOKUP(G55,'CRG-A'!$C$6:$C$33,1,FALSE)),IF(ISERROR(VLOOKUP(G55,'PC-S A'!$C$6:$C$33,1,FALSE)),"","S A"),"A"),"AA"),"AAA"),"ML")</f>
        <v/>
      </c>
      <c r="B55" s="278"/>
      <c r="C55" s="279" t="str">
        <f t="shared" si="58"/>
        <v>-</v>
      </c>
      <c r="D55" s="279" t="str">
        <f t="shared" si="59"/>
        <v>-</v>
      </c>
      <c r="E55" s="279" t="str">
        <f t="shared" si="60"/>
        <v>T</v>
      </c>
      <c r="F55" s="279" t="s">
        <v>95</v>
      </c>
      <c r="G55" s="279" t="s">
        <v>387</v>
      </c>
      <c r="H55" s="279" t="s">
        <v>372</v>
      </c>
      <c r="I55" s="279" t="s">
        <v>209</v>
      </c>
      <c r="J55" s="279">
        <v>24</v>
      </c>
      <c r="K55" s="279" t="s">
        <v>104</v>
      </c>
      <c r="L55" s="279" t="s">
        <v>104</v>
      </c>
      <c r="M55" s="279" t="s">
        <v>47</v>
      </c>
      <c r="N55" s="280" t="s">
        <v>47</v>
      </c>
      <c r="O55" s="279" t="s">
        <v>226</v>
      </c>
      <c r="P55" s="280" t="s">
        <v>223</v>
      </c>
      <c r="Q55" s="279">
        <v>5</v>
      </c>
      <c r="R55" s="279">
        <v>3</v>
      </c>
      <c r="S55" s="279">
        <v>2</v>
      </c>
      <c r="T55" s="279">
        <v>3</v>
      </c>
      <c r="U55" s="280">
        <v>5</v>
      </c>
      <c r="V55" s="279">
        <v>5</v>
      </c>
      <c r="W55" s="279">
        <v>4</v>
      </c>
      <c r="X55" s="279">
        <v>2</v>
      </c>
      <c r="Y55" s="279">
        <v>4</v>
      </c>
      <c r="Z55" s="280">
        <v>5</v>
      </c>
      <c r="AA55" s="279">
        <v>7</v>
      </c>
      <c r="AB55" s="279">
        <v>1</v>
      </c>
      <c r="AC55" s="279">
        <v>1</v>
      </c>
      <c r="AD55" s="279" t="s">
        <v>41</v>
      </c>
      <c r="AE55" s="279">
        <v>10</v>
      </c>
      <c r="AF55" s="279">
        <v>10</v>
      </c>
      <c r="AG55" s="279">
        <v>9</v>
      </c>
      <c r="AH55" s="279">
        <v>8</v>
      </c>
      <c r="AI55" s="279" t="s">
        <v>41</v>
      </c>
      <c r="AJ55" s="279" t="s">
        <v>41</v>
      </c>
      <c r="AK55" s="280" t="s">
        <v>41</v>
      </c>
      <c r="AL55" s="279">
        <v>6</v>
      </c>
      <c r="AM55" s="279">
        <v>8</v>
      </c>
      <c r="AN55" s="280">
        <v>6</v>
      </c>
      <c r="AO55" s="281" t="s">
        <v>41</v>
      </c>
      <c r="AP55" s="280">
        <v>0</v>
      </c>
      <c r="AQ55" s="282">
        <f t="shared" si="61"/>
        <v>2.8333333333333335</v>
      </c>
      <c r="AR55" s="283" t="str">
        <f t="shared" si="62"/>
        <v>Minors</v>
      </c>
      <c r="AS55" s="282">
        <f t="shared" si="63"/>
        <v>3.1666666666666665</v>
      </c>
      <c r="AT55" s="282" t="str">
        <f t="shared" si="64"/>
        <v>Minors</v>
      </c>
      <c r="AU55" s="283">
        <f t="shared" si="65"/>
        <v>3.1666666666666665</v>
      </c>
      <c r="AV55" s="283" t="str">
        <f t="shared" si="66"/>
        <v>Minors</v>
      </c>
      <c r="AW55" s="284">
        <f t="shared" si="67"/>
        <v>0</v>
      </c>
      <c r="AX55" s="285">
        <f t="shared" si="68"/>
        <v>0</v>
      </c>
      <c r="AY55" s="285">
        <f t="shared" si="69"/>
        <v>0</v>
      </c>
      <c r="AZ55" s="285">
        <f t="shared" si="70"/>
        <v>0</v>
      </c>
      <c r="BA55" s="285">
        <f t="shared" si="71"/>
        <v>0</v>
      </c>
      <c r="BB55" s="285">
        <f t="shared" si="72"/>
        <v>0</v>
      </c>
      <c r="BC55" s="285">
        <f t="shared" si="73"/>
        <v>0</v>
      </c>
      <c r="BD55" s="285">
        <f t="shared" si="74"/>
        <v>0</v>
      </c>
      <c r="BE55" s="280">
        <f t="shared" si="75"/>
        <v>0</v>
      </c>
      <c r="BF55" s="284">
        <f t="shared" si="76"/>
        <v>0</v>
      </c>
      <c r="BG55" s="285">
        <f t="shared" si="77"/>
        <v>0</v>
      </c>
      <c r="BH55" s="285">
        <f t="shared" si="78"/>
        <v>0</v>
      </c>
      <c r="BI55" s="285">
        <f t="shared" si="79"/>
        <v>0</v>
      </c>
      <c r="BJ55" s="285">
        <f t="shared" si="80"/>
        <v>0</v>
      </c>
      <c r="BK55" s="285">
        <f t="shared" si="81"/>
        <v>0</v>
      </c>
      <c r="BL55" s="285">
        <f t="shared" si="82"/>
        <v>0</v>
      </c>
      <c r="BM55" s="285">
        <f t="shared" si="83"/>
        <v>0</v>
      </c>
      <c r="BN55" s="280">
        <f t="shared" si="84"/>
        <v>0</v>
      </c>
      <c r="BO55" s="280">
        <f t="shared" si="85"/>
        <v>1</v>
      </c>
      <c r="BP55" s="286">
        <f t="shared" si="86"/>
        <v>2</v>
      </c>
      <c r="BQ55" s="279" t="str">
        <f t="shared" si="87"/>
        <v/>
      </c>
      <c r="BR55" s="278" t="str">
        <f t="shared" si="88"/>
        <v>Unlikely</v>
      </c>
      <c r="BS55" s="279" t="str">
        <f t="shared" si="89"/>
        <v>aack!</v>
      </c>
      <c r="BT55" s="279" t="str">
        <f t="shared" si="90"/>
        <v>aack!</v>
      </c>
      <c r="BU55" s="279" t="str">
        <f t="shared" si="91"/>
        <v>AAA</v>
      </c>
      <c r="BV55" s="279">
        <f t="shared" si="92"/>
        <v>0</v>
      </c>
      <c r="BW55" s="279">
        <f t="shared" si="93"/>
        <v>-1</v>
      </c>
      <c r="BX55" s="279">
        <f t="shared" si="94"/>
        <v>0</v>
      </c>
      <c r="BY55" s="279">
        <f t="shared" si="95"/>
        <v>-1</v>
      </c>
      <c r="BZ55" s="279">
        <f t="shared" si="96"/>
        <v>0</v>
      </c>
      <c r="CA55" s="279">
        <f t="shared" si="97"/>
        <v>-2</v>
      </c>
      <c r="CB55" s="279">
        <f t="shared" si="98"/>
        <v>11</v>
      </c>
      <c r="CC55" s="279">
        <f t="shared" si="99"/>
        <v>7</v>
      </c>
      <c r="CD55" s="279">
        <f t="shared" si="100"/>
        <v>9</v>
      </c>
      <c r="CE55" s="279" t="str">
        <f t="shared" si="101"/>
        <v>With Dev</v>
      </c>
      <c r="CF55" s="294" t="str">
        <f t="shared" si="102"/>
        <v/>
      </c>
      <c r="CG55" s="294" t="str">
        <f t="shared" si="103"/>
        <v>X</v>
      </c>
      <c r="CH55" s="294" t="str">
        <f t="shared" si="104"/>
        <v>X</v>
      </c>
      <c r="CI55" s="294" t="str">
        <f t="shared" si="105"/>
        <v>X</v>
      </c>
      <c r="CJ55" s="294" t="str">
        <f t="shared" si="110"/>
        <v>X</v>
      </c>
      <c r="CK55" s="294" t="str">
        <f t="shared" si="106"/>
        <v/>
      </c>
      <c r="CL55" s="294" t="str">
        <f t="shared" si="107"/>
        <v/>
      </c>
      <c r="CM55" s="294" t="str">
        <f t="shared" si="108"/>
        <v/>
      </c>
      <c r="CN55" s="294" t="str">
        <f t="shared" si="109"/>
        <v/>
      </c>
    </row>
    <row r="56" spans="1:92">
      <c r="A56" s="277" t="str">
        <f>IF(ISERROR(VLOOKUP(G56,CON!$C$3:$C$24,1,FALSE)),IF(ISERROR(VLOOKUP(G56,'PSP-AAA'!$C$6:$C$33,1,FALSE)),IF(ISERROR(VLOOKUP(G56,'NH-AA'!$C$6:$C$33,1,FALSE)),IF(ISERROR(VLOOKUP(G56,'CRG-A'!$C$6:$C$33,1,FALSE)),IF(ISERROR(VLOOKUP(G56,'PC-S A'!$C$6:$C$33,1,FALSE)),"","S A"),"A"),"AA"),"AAA"),"ML")</f>
        <v/>
      </c>
      <c r="B56" s="278"/>
      <c r="C56" s="279" t="str">
        <f t="shared" si="58"/>
        <v>-</v>
      </c>
      <c r="D56" s="279" t="str">
        <f t="shared" si="59"/>
        <v>-</v>
      </c>
      <c r="E56" s="279" t="str">
        <f t="shared" si="60"/>
        <v>T</v>
      </c>
      <c r="F56" s="279" t="s">
        <v>100</v>
      </c>
      <c r="G56" s="279" t="s">
        <v>421</v>
      </c>
      <c r="H56" s="279" t="s">
        <v>373</v>
      </c>
      <c r="I56" s="279" t="s">
        <v>210</v>
      </c>
      <c r="J56" s="279">
        <v>23</v>
      </c>
      <c r="K56" s="279" t="s">
        <v>103</v>
      </c>
      <c r="L56" s="279" t="s">
        <v>104</v>
      </c>
      <c r="M56" s="279" t="s">
        <v>47</v>
      </c>
      <c r="N56" s="280" t="s">
        <v>47</v>
      </c>
      <c r="O56" s="279" t="s">
        <v>225</v>
      </c>
      <c r="P56" s="280" t="s">
        <v>225</v>
      </c>
      <c r="Q56" s="279">
        <v>4</v>
      </c>
      <c r="R56" s="279">
        <v>8</v>
      </c>
      <c r="S56" s="279">
        <v>4</v>
      </c>
      <c r="T56" s="279">
        <v>3</v>
      </c>
      <c r="U56" s="280">
        <v>2</v>
      </c>
      <c r="V56" s="279">
        <v>4</v>
      </c>
      <c r="W56" s="279">
        <v>8</v>
      </c>
      <c r="X56" s="279">
        <v>4</v>
      </c>
      <c r="Y56" s="279">
        <v>3</v>
      </c>
      <c r="Z56" s="280">
        <v>3</v>
      </c>
      <c r="AA56" s="279">
        <v>1</v>
      </c>
      <c r="AB56" s="279">
        <v>8</v>
      </c>
      <c r="AC56" s="279">
        <v>1</v>
      </c>
      <c r="AD56" s="279" t="s">
        <v>41</v>
      </c>
      <c r="AE56" s="279">
        <v>1</v>
      </c>
      <c r="AF56" s="279" t="s">
        <v>41</v>
      </c>
      <c r="AG56" s="279" t="s">
        <v>41</v>
      </c>
      <c r="AH56" s="279" t="s">
        <v>41</v>
      </c>
      <c r="AI56" s="279">
        <v>6</v>
      </c>
      <c r="AJ56" s="279">
        <v>1</v>
      </c>
      <c r="AK56" s="280">
        <v>9</v>
      </c>
      <c r="AL56" s="279">
        <v>6</v>
      </c>
      <c r="AM56" s="279">
        <v>2</v>
      </c>
      <c r="AN56" s="280">
        <v>3</v>
      </c>
      <c r="AO56" s="281" t="s">
        <v>41</v>
      </c>
      <c r="AP56" s="280">
        <v>0</v>
      </c>
      <c r="AQ56" s="282">
        <f t="shared" si="61"/>
        <v>2.6666666666666665</v>
      </c>
      <c r="AR56" s="283" t="str">
        <f t="shared" si="62"/>
        <v>Minors</v>
      </c>
      <c r="AS56" s="282">
        <f t="shared" si="63"/>
        <v>2.6666666666666665</v>
      </c>
      <c r="AT56" s="282" t="str">
        <f t="shared" si="64"/>
        <v>Minors</v>
      </c>
      <c r="AU56" s="283">
        <f t="shared" si="65"/>
        <v>2.6666666666666665</v>
      </c>
      <c r="AV56" s="283" t="str">
        <f t="shared" si="66"/>
        <v>Minors</v>
      </c>
      <c r="AW56" s="284">
        <f t="shared" si="67"/>
        <v>0</v>
      </c>
      <c r="AX56" s="285">
        <f t="shared" si="68"/>
        <v>0</v>
      </c>
      <c r="AY56" s="285">
        <f t="shared" si="69"/>
        <v>0</v>
      </c>
      <c r="AZ56" s="285">
        <f t="shared" si="70"/>
        <v>0</v>
      </c>
      <c r="BA56" s="285">
        <f t="shared" si="71"/>
        <v>0</v>
      </c>
      <c r="BB56" s="285">
        <f t="shared" si="72"/>
        <v>0</v>
      </c>
      <c r="BC56" s="285">
        <f t="shared" si="73"/>
        <v>0</v>
      </c>
      <c r="BD56" s="285">
        <f t="shared" si="74"/>
        <v>0</v>
      </c>
      <c r="BE56" s="280">
        <f t="shared" si="75"/>
        <v>0</v>
      </c>
      <c r="BF56" s="284">
        <f t="shared" si="76"/>
        <v>0</v>
      </c>
      <c r="BG56" s="285">
        <f t="shared" si="77"/>
        <v>0</v>
      </c>
      <c r="BH56" s="285">
        <f t="shared" si="78"/>
        <v>0</v>
      </c>
      <c r="BI56" s="285">
        <f t="shared" si="79"/>
        <v>0</v>
      </c>
      <c r="BJ56" s="285">
        <f t="shared" si="80"/>
        <v>0</v>
      </c>
      <c r="BK56" s="285">
        <f t="shared" si="81"/>
        <v>0</v>
      </c>
      <c r="BL56" s="285">
        <f t="shared" si="82"/>
        <v>0</v>
      </c>
      <c r="BM56" s="285">
        <f t="shared" si="83"/>
        <v>0</v>
      </c>
      <c r="BN56" s="280">
        <f t="shared" si="84"/>
        <v>0</v>
      </c>
      <c r="BO56" s="280">
        <f t="shared" si="85"/>
        <v>0</v>
      </c>
      <c r="BP56" s="286">
        <f t="shared" si="86"/>
        <v>2</v>
      </c>
      <c r="BQ56" s="279" t="str">
        <f t="shared" si="87"/>
        <v/>
      </c>
      <c r="BR56" s="278" t="str">
        <f t="shared" si="88"/>
        <v>Unlikely</v>
      </c>
      <c r="BS56" s="279" t="str">
        <f t="shared" si="89"/>
        <v>aack!</v>
      </c>
      <c r="BT56" s="279" t="str">
        <f t="shared" si="90"/>
        <v>aack!</v>
      </c>
      <c r="BU56" s="279" t="str">
        <f t="shared" si="91"/>
        <v>AA</v>
      </c>
      <c r="BV56" s="279">
        <f t="shared" si="92"/>
        <v>0</v>
      </c>
      <c r="BW56" s="279">
        <f t="shared" si="93"/>
        <v>0</v>
      </c>
      <c r="BX56" s="279">
        <f t="shared" si="94"/>
        <v>0</v>
      </c>
      <c r="BY56" s="279">
        <f t="shared" si="95"/>
        <v>0</v>
      </c>
      <c r="BZ56" s="279">
        <f t="shared" si="96"/>
        <v>-1</v>
      </c>
      <c r="CA56" s="279">
        <f t="shared" si="97"/>
        <v>-1</v>
      </c>
      <c r="CB56" s="279">
        <f t="shared" si="98"/>
        <v>11</v>
      </c>
      <c r="CC56" s="279">
        <f t="shared" si="99"/>
        <v>8</v>
      </c>
      <c r="CD56" s="279">
        <f t="shared" si="100"/>
        <v>7</v>
      </c>
      <c r="CE56" s="279" t="str">
        <f t="shared" si="101"/>
        <v>With Dev</v>
      </c>
      <c r="CF56" s="294" t="str">
        <f t="shared" si="102"/>
        <v/>
      </c>
      <c r="CG56" s="294" t="str">
        <f t="shared" si="103"/>
        <v/>
      </c>
      <c r="CH56" s="294" t="str">
        <f t="shared" si="104"/>
        <v/>
      </c>
      <c r="CI56" s="294" t="str">
        <f t="shared" si="105"/>
        <v/>
      </c>
      <c r="CJ56" s="294" t="str">
        <f t="shared" si="110"/>
        <v/>
      </c>
      <c r="CK56" s="294" t="str">
        <f t="shared" si="106"/>
        <v>X</v>
      </c>
      <c r="CL56" s="294" t="str">
        <f t="shared" si="107"/>
        <v/>
      </c>
      <c r="CM56" s="294" t="str">
        <f t="shared" si="108"/>
        <v>X</v>
      </c>
      <c r="CN56" s="294" t="str">
        <f t="shared" si="109"/>
        <v/>
      </c>
    </row>
    <row r="57" spans="1:92">
      <c r="A57" s="277" t="str">
        <f>IF(ISERROR(VLOOKUP(G57,CON!$C$3:$C$24,1,FALSE)),IF(ISERROR(VLOOKUP(G57,'PSP-AAA'!$C$6:$C$33,1,FALSE)),IF(ISERROR(VLOOKUP(G57,'NH-AA'!$C$6:$C$33,1,FALSE)),IF(ISERROR(VLOOKUP(G57,'CRG-A'!$C$6:$C$33,1,FALSE)),IF(ISERROR(VLOOKUP(G57,'PC-S A'!$C$6:$C$33,1,FALSE)),"","S A"),"A"),"AA"),"AAA"),"ML")</f>
        <v/>
      </c>
      <c r="B57" s="278"/>
      <c r="C57" s="279" t="str">
        <f t="shared" si="58"/>
        <v>-</v>
      </c>
      <c r="D57" s="279" t="str">
        <f t="shared" si="59"/>
        <v>-</v>
      </c>
      <c r="E57" s="279" t="str">
        <f t="shared" si="60"/>
        <v>T</v>
      </c>
      <c r="F57" s="279" t="s">
        <v>95</v>
      </c>
      <c r="G57" s="279" t="s">
        <v>445</v>
      </c>
      <c r="H57" s="279" t="s">
        <v>370</v>
      </c>
      <c r="I57" s="279" t="s">
        <v>316</v>
      </c>
      <c r="J57" s="279">
        <v>19</v>
      </c>
      <c r="K57" s="279" t="s">
        <v>106</v>
      </c>
      <c r="L57" s="279" t="s">
        <v>104</v>
      </c>
      <c r="M57" s="279" t="s">
        <v>47</v>
      </c>
      <c r="N57" s="280" t="s">
        <v>47</v>
      </c>
      <c r="O57" s="279" t="s">
        <v>226</v>
      </c>
      <c r="P57" s="280" t="s">
        <v>225</v>
      </c>
      <c r="Q57" s="279">
        <v>5</v>
      </c>
      <c r="R57" s="279">
        <v>5</v>
      </c>
      <c r="S57" s="279">
        <v>2</v>
      </c>
      <c r="T57" s="279">
        <v>2</v>
      </c>
      <c r="U57" s="280">
        <v>5</v>
      </c>
      <c r="V57" s="279">
        <v>5</v>
      </c>
      <c r="W57" s="279">
        <v>5</v>
      </c>
      <c r="X57" s="279">
        <v>2</v>
      </c>
      <c r="Y57" s="279">
        <v>4</v>
      </c>
      <c r="Z57" s="280">
        <v>6</v>
      </c>
      <c r="AA57" s="279">
        <v>4</v>
      </c>
      <c r="AB57" s="279">
        <v>2</v>
      </c>
      <c r="AC57" s="279">
        <v>1</v>
      </c>
      <c r="AD57" s="279" t="s">
        <v>41</v>
      </c>
      <c r="AE57" s="279" t="s">
        <v>41</v>
      </c>
      <c r="AF57" s="279">
        <v>2</v>
      </c>
      <c r="AG57" s="279">
        <v>2</v>
      </c>
      <c r="AH57" s="279">
        <v>1</v>
      </c>
      <c r="AI57" s="279" t="s">
        <v>41</v>
      </c>
      <c r="AJ57" s="279" t="s">
        <v>41</v>
      </c>
      <c r="AK57" s="280" t="s">
        <v>41</v>
      </c>
      <c r="AL57" s="279">
        <v>8</v>
      </c>
      <c r="AM57" s="279">
        <v>10</v>
      </c>
      <c r="AN57" s="280">
        <v>10</v>
      </c>
      <c r="AO57" s="281" t="s">
        <v>41</v>
      </c>
      <c r="AP57" s="280" t="s">
        <v>45</v>
      </c>
      <c r="AQ57" s="282">
        <f t="shared" si="61"/>
        <v>2.5</v>
      </c>
      <c r="AR57" s="283" t="str">
        <f t="shared" si="62"/>
        <v>Minors</v>
      </c>
      <c r="AS57" s="282">
        <f t="shared" si="63"/>
        <v>3.1666666666666665</v>
      </c>
      <c r="AT57" s="282" t="str">
        <f t="shared" si="64"/>
        <v>Minors</v>
      </c>
      <c r="AU57" s="283">
        <f t="shared" si="65"/>
        <v>3.1666666666666665</v>
      </c>
      <c r="AV57" s="283" t="str">
        <f t="shared" si="66"/>
        <v>Minors</v>
      </c>
      <c r="AW57" s="284">
        <f t="shared" si="67"/>
        <v>0</v>
      </c>
      <c r="AX57" s="285">
        <f t="shared" si="68"/>
        <v>0</v>
      </c>
      <c r="AY57" s="285">
        <f t="shared" si="69"/>
        <v>0</v>
      </c>
      <c r="AZ57" s="285">
        <f t="shared" si="70"/>
        <v>0</v>
      </c>
      <c r="BA57" s="285">
        <f t="shared" si="71"/>
        <v>0</v>
      </c>
      <c r="BB57" s="285">
        <f t="shared" si="72"/>
        <v>0</v>
      </c>
      <c r="BC57" s="285">
        <f t="shared" si="73"/>
        <v>0</v>
      </c>
      <c r="BD57" s="285">
        <f t="shared" si="74"/>
        <v>0</v>
      </c>
      <c r="BE57" s="280">
        <f t="shared" si="75"/>
        <v>0</v>
      </c>
      <c r="BF57" s="284">
        <f t="shared" si="76"/>
        <v>0</v>
      </c>
      <c r="BG57" s="285">
        <f t="shared" si="77"/>
        <v>0</v>
      </c>
      <c r="BH57" s="285">
        <f t="shared" si="78"/>
        <v>0</v>
      </c>
      <c r="BI57" s="285">
        <f t="shared" si="79"/>
        <v>0</v>
      </c>
      <c r="BJ57" s="285">
        <f t="shared" si="80"/>
        <v>0</v>
      </c>
      <c r="BK57" s="285">
        <f t="shared" si="81"/>
        <v>0</v>
      </c>
      <c r="BL57" s="285">
        <f t="shared" si="82"/>
        <v>0</v>
      </c>
      <c r="BM57" s="285">
        <f t="shared" si="83"/>
        <v>0</v>
      </c>
      <c r="BN57" s="280">
        <f t="shared" si="84"/>
        <v>0</v>
      </c>
      <c r="BO57" s="280">
        <f t="shared" si="85"/>
        <v>5</v>
      </c>
      <c r="BP57" s="286">
        <f t="shared" si="86"/>
        <v>0</v>
      </c>
      <c r="BQ57" s="279" t="str">
        <f t="shared" si="87"/>
        <v/>
      </c>
      <c r="BR57" s="278" t="str">
        <f t="shared" si="88"/>
        <v>Unlikely</v>
      </c>
      <c r="BS57" s="279" t="str">
        <f t="shared" si="89"/>
        <v>aack!</v>
      </c>
      <c r="BT57" s="279" t="str">
        <f t="shared" si="90"/>
        <v>aack!</v>
      </c>
      <c r="BU57" s="279" t="str">
        <f t="shared" si="91"/>
        <v>AAA</v>
      </c>
      <c r="BV57" s="279">
        <f t="shared" si="92"/>
        <v>0</v>
      </c>
      <c r="BW57" s="279">
        <f t="shared" si="93"/>
        <v>0</v>
      </c>
      <c r="BX57" s="279">
        <f t="shared" si="94"/>
        <v>0</v>
      </c>
      <c r="BY57" s="279">
        <f t="shared" si="95"/>
        <v>-2</v>
      </c>
      <c r="BZ57" s="279">
        <f t="shared" si="96"/>
        <v>-1</v>
      </c>
      <c r="CA57" s="279">
        <f t="shared" si="97"/>
        <v>-3</v>
      </c>
      <c r="CB57" s="279">
        <f t="shared" si="98"/>
        <v>11</v>
      </c>
      <c r="CC57" s="279">
        <f t="shared" si="99"/>
        <v>7</v>
      </c>
      <c r="CD57" s="279">
        <f t="shared" si="100"/>
        <v>9</v>
      </c>
      <c r="CE57" s="279" t="str">
        <f t="shared" si="101"/>
        <v>With Dev</v>
      </c>
      <c r="CF57" s="294" t="str">
        <f t="shared" si="102"/>
        <v/>
      </c>
      <c r="CG57" s="294" t="str">
        <f t="shared" si="103"/>
        <v/>
      </c>
      <c r="CH57" s="294" t="str">
        <f t="shared" si="104"/>
        <v/>
      </c>
      <c r="CI57" s="294" t="str">
        <f t="shared" si="105"/>
        <v/>
      </c>
      <c r="CJ57" s="294" t="str">
        <f t="shared" si="110"/>
        <v/>
      </c>
      <c r="CK57" s="294" t="str">
        <f t="shared" si="106"/>
        <v/>
      </c>
      <c r="CL57" s="294" t="str">
        <f t="shared" si="107"/>
        <v/>
      </c>
      <c r="CM57" s="294" t="str">
        <f t="shared" si="108"/>
        <v/>
      </c>
      <c r="CN57" s="294" t="str">
        <f t="shared" si="109"/>
        <v>X</v>
      </c>
    </row>
    <row r="58" spans="1:92">
      <c r="A58" s="277" t="str">
        <f>IF(ISERROR(VLOOKUP(G58,CON!$C$3:$C$24,1,FALSE)),IF(ISERROR(VLOOKUP(G58,'PSP-AAA'!$C$6:$C$33,1,FALSE)),IF(ISERROR(VLOOKUP(G58,'NH-AA'!$C$6:$C$33,1,FALSE)),IF(ISERROR(VLOOKUP(G58,'CRG-A'!$C$6:$C$33,1,FALSE)),IF(ISERROR(VLOOKUP(G58,'PC-S A'!$C$6:$C$33,1,FALSE)),"","S A"),"A"),"AA"),"AAA"),"ML")</f>
        <v/>
      </c>
      <c r="B58" s="278"/>
      <c r="C58" s="279" t="str">
        <f t="shared" si="58"/>
        <v>-</v>
      </c>
      <c r="D58" s="279" t="str">
        <f t="shared" si="59"/>
        <v>-</v>
      </c>
      <c r="E58" s="279" t="str">
        <f t="shared" si="60"/>
        <v>K</v>
      </c>
      <c r="F58" s="279" t="s">
        <v>97</v>
      </c>
      <c r="G58" s="279" t="s">
        <v>525</v>
      </c>
      <c r="H58" s="279" t="s">
        <v>370</v>
      </c>
      <c r="I58" s="279" t="s">
        <v>316</v>
      </c>
      <c r="J58" s="279">
        <v>22</v>
      </c>
      <c r="K58" s="279" t="s">
        <v>104</v>
      </c>
      <c r="L58" s="279" t="s">
        <v>104</v>
      </c>
      <c r="M58" s="279" t="s">
        <v>47</v>
      </c>
      <c r="N58" s="280" t="s">
        <v>47</v>
      </c>
      <c r="O58" s="279" t="s">
        <v>223</v>
      </c>
      <c r="P58" s="280" t="s">
        <v>224</v>
      </c>
      <c r="Q58" s="279">
        <v>4</v>
      </c>
      <c r="R58" s="279">
        <v>3</v>
      </c>
      <c r="S58" s="279">
        <v>3</v>
      </c>
      <c r="T58" s="279">
        <v>3</v>
      </c>
      <c r="U58" s="280">
        <v>2</v>
      </c>
      <c r="V58" s="279">
        <v>5</v>
      </c>
      <c r="W58" s="279">
        <v>3</v>
      </c>
      <c r="X58" s="279">
        <v>6</v>
      </c>
      <c r="Y58" s="279">
        <v>5</v>
      </c>
      <c r="Z58" s="280">
        <v>3</v>
      </c>
      <c r="AA58" s="279">
        <v>7</v>
      </c>
      <c r="AB58" s="279">
        <v>5</v>
      </c>
      <c r="AC58" s="279">
        <v>1</v>
      </c>
      <c r="AD58" s="279" t="s">
        <v>41</v>
      </c>
      <c r="AE58" s="279" t="s">
        <v>41</v>
      </c>
      <c r="AF58" s="279" t="s">
        <v>41</v>
      </c>
      <c r="AG58" s="279">
        <v>2</v>
      </c>
      <c r="AH58" s="279">
        <v>6</v>
      </c>
      <c r="AI58" s="279" t="s">
        <v>41</v>
      </c>
      <c r="AJ58" s="279" t="s">
        <v>41</v>
      </c>
      <c r="AK58" s="280" t="s">
        <v>41</v>
      </c>
      <c r="AL58" s="279">
        <v>10</v>
      </c>
      <c r="AM58" s="279">
        <v>8</v>
      </c>
      <c r="AN58" s="280">
        <v>8</v>
      </c>
      <c r="AO58" s="281" t="s">
        <v>41</v>
      </c>
      <c r="AP58" s="280">
        <v>0</v>
      </c>
      <c r="AQ58" s="282">
        <f t="shared" si="61"/>
        <v>2.3333333333333335</v>
      </c>
      <c r="AR58" s="283" t="str">
        <f t="shared" si="62"/>
        <v>Minors</v>
      </c>
      <c r="AS58" s="282">
        <f t="shared" si="63"/>
        <v>4.833333333333333</v>
      </c>
      <c r="AT58" s="282" t="str">
        <f t="shared" si="64"/>
        <v>Bench</v>
      </c>
      <c r="AU58" s="283">
        <f t="shared" si="65"/>
        <v>4.833333333333333</v>
      </c>
      <c r="AV58" s="283" t="str">
        <f t="shared" si="66"/>
        <v>Bench</v>
      </c>
      <c r="AW58" s="284">
        <f t="shared" si="67"/>
        <v>0</v>
      </c>
      <c r="AX58" s="285">
        <f t="shared" si="68"/>
        <v>0</v>
      </c>
      <c r="AY58" s="285">
        <f t="shared" si="69"/>
        <v>0</v>
      </c>
      <c r="AZ58" s="285">
        <f t="shared" si="70"/>
        <v>0</v>
      </c>
      <c r="BA58" s="285">
        <f t="shared" si="71"/>
        <v>0</v>
      </c>
      <c r="BB58" s="285">
        <f t="shared" si="72"/>
        <v>0</v>
      </c>
      <c r="BC58" s="285">
        <f t="shared" si="73"/>
        <v>0</v>
      </c>
      <c r="BD58" s="285">
        <f t="shared" si="74"/>
        <v>0</v>
      </c>
      <c r="BE58" s="280">
        <f t="shared" si="75"/>
        <v>0</v>
      </c>
      <c r="BF58" s="284">
        <f t="shared" si="76"/>
        <v>0</v>
      </c>
      <c r="BG58" s="285">
        <f t="shared" si="77"/>
        <v>0</v>
      </c>
      <c r="BH58" s="285">
        <f t="shared" si="78"/>
        <v>0</v>
      </c>
      <c r="BI58" s="285">
        <f t="shared" si="79"/>
        <v>0</v>
      </c>
      <c r="BJ58" s="285">
        <f t="shared" si="80"/>
        <v>0</v>
      </c>
      <c r="BK58" s="285">
        <f t="shared" si="81"/>
        <v>0</v>
      </c>
      <c r="BL58" s="285">
        <f t="shared" si="82"/>
        <v>0</v>
      </c>
      <c r="BM58" s="285">
        <f t="shared" si="83"/>
        <v>0</v>
      </c>
      <c r="BN58" s="280">
        <f t="shared" si="84"/>
        <v>0</v>
      </c>
      <c r="BO58" s="280">
        <f t="shared" si="85"/>
        <v>4</v>
      </c>
      <c r="BP58" s="286">
        <f t="shared" si="86"/>
        <v>1</v>
      </c>
      <c r="BQ58" s="279" t="str">
        <f t="shared" si="87"/>
        <v/>
      </c>
      <c r="BR58" s="278" t="str">
        <f t="shared" si="88"/>
        <v>Possible</v>
      </c>
      <c r="BS58" s="279" t="str">
        <f t="shared" si="89"/>
        <v>aack!</v>
      </c>
      <c r="BT58" s="279" t="str">
        <f t="shared" si="90"/>
        <v>Bench</v>
      </c>
      <c r="BU58" s="279" t="str">
        <f t="shared" si="91"/>
        <v>AA</v>
      </c>
      <c r="BV58" s="279">
        <f t="shared" si="92"/>
        <v>-1</v>
      </c>
      <c r="BW58" s="279">
        <f t="shared" si="93"/>
        <v>0</v>
      </c>
      <c r="BX58" s="279">
        <f t="shared" si="94"/>
        <v>-3</v>
      </c>
      <c r="BY58" s="279">
        <f t="shared" si="95"/>
        <v>-2</v>
      </c>
      <c r="BZ58" s="279">
        <f t="shared" si="96"/>
        <v>-1</v>
      </c>
      <c r="CA58" s="279">
        <f t="shared" si="97"/>
        <v>-7</v>
      </c>
      <c r="CB58" s="279">
        <f t="shared" si="98"/>
        <v>16</v>
      </c>
      <c r="CC58" s="279">
        <f t="shared" si="99"/>
        <v>11</v>
      </c>
      <c r="CD58" s="279">
        <f t="shared" si="100"/>
        <v>10</v>
      </c>
      <c r="CE58" s="279" t="str">
        <f t="shared" si="101"/>
        <v>With Dev</v>
      </c>
      <c r="CF58" s="294" t="str">
        <f t="shared" si="102"/>
        <v/>
      </c>
      <c r="CG58" s="294" t="str">
        <f t="shared" si="103"/>
        <v/>
      </c>
      <c r="CH58" s="294" t="str">
        <f t="shared" si="104"/>
        <v/>
      </c>
      <c r="CI58" s="294" t="str">
        <f t="shared" si="105"/>
        <v/>
      </c>
      <c r="CJ58" s="294" t="str">
        <f t="shared" si="110"/>
        <v>X</v>
      </c>
      <c r="CK58" s="294" t="str">
        <f t="shared" si="106"/>
        <v/>
      </c>
      <c r="CL58" s="294" t="str">
        <f t="shared" si="107"/>
        <v/>
      </c>
      <c r="CM58" s="294" t="str">
        <f t="shared" si="108"/>
        <v/>
      </c>
      <c r="CN58" s="294" t="str">
        <f t="shared" si="109"/>
        <v/>
      </c>
    </row>
    <row r="59" spans="1:92">
      <c r="A59" s="277" t="str">
        <f>IF(ISERROR(VLOOKUP(G59,CON!$C$3:$C$24,1,FALSE)),IF(ISERROR(VLOOKUP(G59,'PSP-AAA'!$C$6:$C$33,1,FALSE)),IF(ISERROR(VLOOKUP(G59,'NH-AA'!$C$6:$C$33,1,FALSE)),IF(ISERROR(VLOOKUP(G59,'CRG-A'!$C$6:$C$33,1,FALSE)),IF(ISERROR(VLOOKUP(G59,'PC-S A'!$C$6:$C$33,1,FALSE)),"","S A"),"A"),"AA"),"AAA"),"ML")</f>
        <v/>
      </c>
      <c r="B59" s="278"/>
      <c r="C59" s="279">
        <f t="shared" si="58"/>
        <v>8</v>
      </c>
      <c r="D59" s="279" t="str">
        <f t="shared" si="59"/>
        <v>-</v>
      </c>
      <c r="E59" s="279" t="str">
        <f t="shared" si="60"/>
        <v>T</v>
      </c>
      <c r="F59" s="279" t="s">
        <v>100</v>
      </c>
      <c r="G59" s="279" t="s">
        <v>526</v>
      </c>
      <c r="H59" s="279" t="s">
        <v>370</v>
      </c>
      <c r="I59" s="279" t="s">
        <v>316</v>
      </c>
      <c r="J59" s="279">
        <v>21</v>
      </c>
      <c r="K59" s="279" t="s">
        <v>103</v>
      </c>
      <c r="L59" s="279" t="s">
        <v>103</v>
      </c>
      <c r="M59" s="279" t="s">
        <v>47</v>
      </c>
      <c r="N59" s="280" t="s">
        <v>47</v>
      </c>
      <c r="O59" s="279" t="s">
        <v>226</v>
      </c>
      <c r="P59" s="280" t="s">
        <v>223</v>
      </c>
      <c r="Q59" s="279">
        <v>4</v>
      </c>
      <c r="R59" s="279">
        <v>8</v>
      </c>
      <c r="S59" s="279">
        <v>2</v>
      </c>
      <c r="T59" s="279">
        <v>4</v>
      </c>
      <c r="U59" s="280">
        <v>3</v>
      </c>
      <c r="V59" s="279">
        <v>5</v>
      </c>
      <c r="W59" s="279">
        <v>8</v>
      </c>
      <c r="X59" s="279">
        <v>5</v>
      </c>
      <c r="Y59" s="279">
        <v>6</v>
      </c>
      <c r="Z59" s="280">
        <v>5</v>
      </c>
      <c r="AA59" s="279">
        <v>1</v>
      </c>
      <c r="AB59" s="279">
        <v>3</v>
      </c>
      <c r="AC59" s="279">
        <v>1</v>
      </c>
      <c r="AD59" s="279" t="s">
        <v>41</v>
      </c>
      <c r="AE59" s="279">
        <v>1</v>
      </c>
      <c r="AF59" s="279" t="s">
        <v>41</v>
      </c>
      <c r="AG59" s="279" t="s">
        <v>41</v>
      </c>
      <c r="AH59" s="279" t="s">
        <v>41</v>
      </c>
      <c r="AI59" s="279">
        <v>1</v>
      </c>
      <c r="AJ59" s="279">
        <v>2</v>
      </c>
      <c r="AK59" s="280">
        <v>7</v>
      </c>
      <c r="AL59" s="279">
        <v>6</v>
      </c>
      <c r="AM59" s="279">
        <v>7</v>
      </c>
      <c r="AN59" s="280">
        <v>5</v>
      </c>
      <c r="AO59" s="281" t="s">
        <v>41</v>
      </c>
      <c r="AP59" s="280">
        <v>0</v>
      </c>
      <c r="AQ59" s="282">
        <f t="shared" si="61"/>
        <v>2.3333333333333335</v>
      </c>
      <c r="AR59" s="283" t="str">
        <f t="shared" si="62"/>
        <v>Minors</v>
      </c>
      <c r="AS59" s="282">
        <f t="shared" si="63"/>
        <v>4.833333333333333</v>
      </c>
      <c r="AT59" s="282" t="str">
        <f t="shared" si="64"/>
        <v>Bench</v>
      </c>
      <c r="AU59" s="283">
        <f t="shared" si="65"/>
        <v>4.833333333333333</v>
      </c>
      <c r="AV59" s="283" t="str">
        <f t="shared" si="66"/>
        <v>Bench</v>
      </c>
      <c r="AW59" s="284">
        <f t="shared" si="67"/>
        <v>0</v>
      </c>
      <c r="AX59" s="285">
        <f t="shared" si="68"/>
        <v>0</v>
      </c>
      <c r="AY59" s="285">
        <f t="shared" si="69"/>
        <v>0</v>
      </c>
      <c r="AZ59" s="285">
        <f t="shared" si="70"/>
        <v>0</v>
      </c>
      <c r="BA59" s="285">
        <f t="shared" si="71"/>
        <v>0</v>
      </c>
      <c r="BB59" s="285">
        <f t="shared" si="72"/>
        <v>0</v>
      </c>
      <c r="BC59" s="285">
        <f t="shared" si="73"/>
        <v>0</v>
      </c>
      <c r="BD59" s="285">
        <f t="shared" si="74"/>
        <v>0</v>
      </c>
      <c r="BE59" s="280">
        <f t="shared" si="75"/>
        <v>0</v>
      </c>
      <c r="BF59" s="284">
        <f t="shared" si="76"/>
        <v>0</v>
      </c>
      <c r="BG59" s="285">
        <f t="shared" si="77"/>
        <v>0</v>
      </c>
      <c r="BH59" s="285">
        <f t="shared" si="78"/>
        <v>0</v>
      </c>
      <c r="BI59" s="285">
        <f t="shared" si="79"/>
        <v>0</v>
      </c>
      <c r="BJ59" s="285">
        <f t="shared" si="80"/>
        <v>0</v>
      </c>
      <c r="BK59" s="285">
        <f t="shared" si="81"/>
        <v>0</v>
      </c>
      <c r="BL59" s="285">
        <f t="shared" si="82"/>
        <v>0</v>
      </c>
      <c r="BM59" s="285">
        <f t="shared" si="83"/>
        <v>1</v>
      </c>
      <c r="BN59" s="280">
        <f t="shared" si="84"/>
        <v>1</v>
      </c>
      <c r="BO59" s="280">
        <f t="shared" si="85"/>
        <v>0</v>
      </c>
      <c r="BP59" s="286">
        <f t="shared" si="86"/>
        <v>2</v>
      </c>
      <c r="BQ59" s="279" t="str">
        <f t="shared" si="87"/>
        <v/>
      </c>
      <c r="BR59" s="278" t="str">
        <f t="shared" si="88"/>
        <v>Possible</v>
      </c>
      <c r="BS59" s="279" t="str">
        <f t="shared" si="89"/>
        <v>aack!</v>
      </c>
      <c r="BT59" s="279" t="str">
        <f t="shared" si="90"/>
        <v>Bench</v>
      </c>
      <c r="BU59" s="279" t="str">
        <f t="shared" si="91"/>
        <v>AA</v>
      </c>
      <c r="BV59" s="279">
        <f t="shared" si="92"/>
        <v>-1</v>
      </c>
      <c r="BW59" s="279">
        <f t="shared" si="93"/>
        <v>0</v>
      </c>
      <c r="BX59" s="279">
        <f t="shared" si="94"/>
        <v>-3</v>
      </c>
      <c r="BY59" s="279">
        <f t="shared" si="95"/>
        <v>-2</v>
      </c>
      <c r="BZ59" s="279">
        <f t="shared" si="96"/>
        <v>-2</v>
      </c>
      <c r="CA59" s="279">
        <f t="shared" si="97"/>
        <v>-8</v>
      </c>
      <c r="CB59" s="279">
        <f t="shared" si="98"/>
        <v>16</v>
      </c>
      <c r="CC59" s="279">
        <f t="shared" si="99"/>
        <v>10</v>
      </c>
      <c r="CD59" s="279">
        <f t="shared" si="100"/>
        <v>11</v>
      </c>
      <c r="CE59" s="279" t="str">
        <f t="shared" si="101"/>
        <v>With Dev</v>
      </c>
      <c r="CF59" s="294" t="str">
        <f t="shared" si="102"/>
        <v/>
      </c>
      <c r="CG59" s="294" t="str">
        <f t="shared" si="103"/>
        <v/>
      </c>
      <c r="CH59" s="294" t="str">
        <f t="shared" si="104"/>
        <v/>
      </c>
      <c r="CI59" s="294" t="str">
        <f t="shared" si="105"/>
        <v/>
      </c>
      <c r="CJ59" s="294" t="str">
        <f t="shared" si="110"/>
        <v/>
      </c>
      <c r="CK59" s="294" t="str">
        <f t="shared" si="106"/>
        <v/>
      </c>
      <c r="CL59" s="294" t="str">
        <f t="shared" si="107"/>
        <v/>
      </c>
      <c r="CM59" s="294" t="str">
        <f t="shared" si="108"/>
        <v/>
      </c>
      <c r="CN59" s="294" t="str">
        <f t="shared" si="109"/>
        <v>X</v>
      </c>
    </row>
    <row r="60" spans="1:92">
      <c r="A60" s="277" t="str">
        <f>IF(ISERROR(VLOOKUP(G60,CON!$C$3:$C$24,1,FALSE)),IF(ISERROR(VLOOKUP(G60,'PSP-AAA'!$C$6:$C$33,1,FALSE)),IF(ISERROR(VLOOKUP(G60,'NH-AA'!$C$6:$C$33,1,FALSE)),IF(ISERROR(VLOOKUP(G60,'CRG-A'!$C$6:$C$33,1,FALSE)),IF(ISERROR(VLOOKUP(G60,'PC-S A'!$C$6:$C$33,1,FALSE)),"","S A"),"A"),"AA"),"AAA"),"ML")</f>
        <v>A</v>
      </c>
      <c r="B60" s="278"/>
      <c r="C60" s="279">
        <f t="shared" si="58"/>
        <v>8</v>
      </c>
      <c r="D60" s="279" t="str">
        <f t="shared" si="59"/>
        <v>-</v>
      </c>
      <c r="E60" s="279" t="str">
        <f t="shared" si="60"/>
        <v>T</v>
      </c>
      <c r="F60" s="279" t="s">
        <v>92</v>
      </c>
      <c r="G60" s="279" t="s">
        <v>523</v>
      </c>
      <c r="H60" s="279" t="s">
        <v>373</v>
      </c>
      <c r="I60" s="279" t="s">
        <v>210</v>
      </c>
      <c r="J60" s="279">
        <v>22</v>
      </c>
      <c r="K60" s="279" t="s">
        <v>104</v>
      </c>
      <c r="L60" s="279" t="s">
        <v>104</v>
      </c>
      <c r="M60" s="279" t="s">
        <v>47</v>
      </c>
      <c r="N60" s="280" t="s">
        <v>47</v>
      </c>
      <c r="O60" s="279" t="s">
        <v>225</v>
      </c>
      <c r="P60" s="280" t="s">
        <v>225</v>
      </c>
      <c r="Q60" s="279">
        <v>4</v>
      </c>
      <c r="R60" s="279">
        <v>5</v>
      </c>
      <c r="S60" s="279">
        <v>3</v>
      </c>
      <c r="T60" s="279">
        <v>3</v>
      </c>
      <c r="U60" s="280">
        <v>3</v>
      </c>
      <c r="V60" s="279">
        <v>5</v>
      </c>
      <c r="W60" s="279">
        <v>7</v>
      </c>
      <c r="X60" s="279">
        <v>5</v>
      </c>
      <c r="Y60" s="279">
        <v>5</v>
      </c>
      <c r="Z60" s="280">
        <v>4</v>
      </c>
      <c r="AA60" s="279">
        <v>6</v>
      </c>
      <c r="AB60" s="279">
        <v>6</v>
      </c>
      <c r="AC60" s="279">
        <v>8</v>
      </c>
      <c r="AD60" s="279">
        <v>6</v>
      </c>
      <c r="AE60" s="279" t="s">
        <v>41</v>
      </c>
      <c r="AF60" s="279" t="s">
        <v>41</v>
      </c>
      <c r="AG60" s="279" t="s">
        <v>41</v>
      </c>
      <c r="AH60" s="279" t="s">
        <v>41</v>
      </c>
      <c r="AI60" s="279" t="s">
        <v>41</v>
      </c>
      <c r="AJ60" s="279" t="s">
        <v>41</v>
      </c>
      <c r="AK60" s="280" t="s">
        <v>41</v>
      </c>
      <c r="AL60" s="279">
        <v>4</v>
      </c>
      <c r="AM60" s="279">
        <v>4</v>
      </c>
      <c r="AN60" s="280">
        <v>3</v>
      </c>
      <c r="AO60" s="281" t="s">
        <v>41</v>
      </c>
      <c r="AP60" s="280">
        <v>0</v>
      </c>
      <c r="AQ60" s="282">
        <f t="shared" si="61"/>
        <v>2.3333333333333335</v>
      </c>
      <c r="AR60" s="283" t="str">
        <f t="shared" si="62"/>
        <v>Minors</v>
      </c>
      <c r="AS60" s="282">
        <f t="shared" si="63"/>
        <v>4.5</v>
      </c>
      <c r="AT60" s="282" t="str">
        <f t="shared" si="64"/>
        <v>Bench</v>
      </c>
      <c r="AU60" s="283">
        <f t="shared" si="65"/>
        <v>4.5</v>
      </c>
      <c r="AV60" s="283" t="str">
        <f t="shared" si="66"/>
        <v>Bench</v>
      </c>
      <c r="AW60" s="284">
        <f t="shared" si="67"/>
        <v>0</v>
      </c>
      <c r="AX60" s="285">
        <f t="shared" si="68"/>
        <v>0</v>
      </c>
      <c r="AY60" s="285">
        <f t="shared" si="69"/>
        <v>0</v>
      </c>
      <c r="AZ60" s="285">
        <f t="shared" si="70"/>
        <v>0</v>
      </c>
      <c r="BA60" s="285">
        <f t="shared" si="71"/>
        <v>0</v>
      </c>
      <c r="BB60" s="285">
        <f t="shared" si="72"/>
        <v>0</v>
      </c>
      <c r="BC60" s="285">
        <f t="shared" si="73"/>
        <v>0</v>
      </c>
      <c r="BD60" s="285">
        <f t="shared" si="74"/>
        <v>0</v>
      </c>
      <c r="BE60" s="280">
        <f t="shared" si="75"/>
        <v>0</v>
      </c>
      <c r="BF60" s="284">
        <f t="shared" si="76"/>
        <v>0</v>
      </c>
      <c r="BG60" s="285">
        <f t="shared" si="77"/>
        <v>0</v>
      </c>
      <c r="BH60" s="285">
        <f t="shared" si="78"/>
        <v>0</v>
      </c>
      <c r="BI60" s="285">
        <f t="shared" si="79"/>
        <v>0</v>
      </c>
      <c r="BJ60" s="285">
        <f t="shared" si="80"/>
        <v>0</v>
      </c>
      <c r="BK60" s="285">
        <f t="shared" si="81"/>
        <v>0</v>
      </c>
      <c r="BL60" s="285">
        <f t="shared" si="82"/>
        <v>0</v>
      </c>
      <c r="BM60" s="285">
        <f t="shared" si="83"/>
        <v>1</v>
      </c>
      <c r="BN60" s="280">
        <f t="shared" si="84"/>
        <v>1</v>
      </c>
      <c r="BO60" s="280">
        <f t="shared" si="85"/>
        <v>0</v>
      </c>
      <c r="BP60" s="286">
        <f t="shared" si="86"/>
        <v>1</v>
      </c>
      <c r="BQ60" s="279" t="str">
        <f t="shared" si="87"/>
        <v/>
      </c>
      <c r="BR60" s="278" t="str">
        <f t="shared" si="88"/>
        <v>Possible</v>
      </c>
      <c r="BS60" s="279" t="str">
        <f t="shared" si="89"/>
        <v>aack!</v>
      </c>
      <c r="BT60" s="279" t="str">
        <f t="shared" si="90"/>
        <v>Bench</v>
      </c>
      <c r="BU60" s="279" t="str">
        <f t="shared" si="91"/>
        <v>AA</v>
      </c>
      <c r="BV60" s="279">
        <f t="shared" si="92"/>
        <v>-1</v>
      </c>
      <c r="BW60" s="279">
        <f t="shared" si="93"/>
        <v>-2</v>
      </c>
      <c r="BX60" s="279">
        <f t="shared" si="94"/>
        <v>-2</v>
      </c>
      <c r="BY60" s="279">
        <f t="shared" si="95"/>
        <v>-2</v>
      </c>
      <c r="BZ60" s="279">
        <f t="shared" si="96"/>
        <v>-1</v>
      </c>
      <c r="CA60" s="279">
        <f t="shared" si="97"/>
        <v>-8</v>
      </c>
      <c r="CB60" s="279">
        <f t="shared" si="98"/>
        <v>15</v>
      </c>
      <c r="CC60" s="279">
        <f t="shared" si="99"/>
        <v>10</v>
      </c>
      <c r="CD60" s="279">
        <f t="shared" si="100"/>
        <v>10</v>
      </c>
      <c r="CE60" s="279" t="str">
        <f t="shared" si="101"/>
        <v>With Dev</v>
      </c>
      <c r="CF60" s="294" t="str">
        <f t="shared" si="102"/>
        <v>X</v>
      </c>
      <c r="CG60" s="294" t="str">
        <f t="shared" si="103"/>
        <v/>
      </c>
      <c r="CH60" s="294" t="str">
        <f t="shared" si="104"/>
        <v/>
      </c>
      <c r="CI60" s="294" t="str">
        <f t="shared" si="105"/>
        <v/>
      </c>
      <c r="CJ60" s="294" t="str">
        <f t="shared" si="110"/>
        <v/>
      </c>
      <c r="CK60" s="294" t="str">
        <f t="shared" si="106"/>
        <v/>
      </c>
      <c r="CL60" s="294" t="str">
        <f t="shared" si="107"/>
        <v/>
      </c>
      <c r="CM60" s="294" t="str">
        <f t="shared" si="108"/>
        <v/>
      </c>
      <c r="CN60" s="294" t="str">
        <f t="shared" si="109"/>
        <v/>
      </c>
    </row>
    <row r="61" spans="1:92">
      <c r="A61" s="277" t="str">
        <f>IF(ISERROR(VLOOKUP(G61,CON!$C$3:$C$24,1,FALSE)),IF(ISERROR(VLOOKUP(G61,'PSP-AAA'!$C$6:$C$33,1,FALSE)),IF(ISERROR(VLOOKUP(G61,'NH-AA'!$C$6:$C$33,1,FALSE)),IF(ISERROR(VLOOKUP(G61,'CRG-A'!$C$6:$C$33,1,FALSE)),IF(ISERROR(VLOOKUP(G61,'PC-S A'!$C$6:$C$33,1,FALSE)),"","S A"),"A"),"AA"),"AAA"),"ML")</f>
        <v/>
      </c>
      <c r="B61" s="278"/>
      <c r="C61" s="279" t="str">
        <f t="shared" si="58"/>
        <v>-</v>
      </c>
      <c r="D61" s="279" t="str">
        <f t="shared" si="59"/>
        <v>-</v>
      </c>
      <c r="E61" s="279" t="str">
        <f t="shared" si="60"/>
        <v>K</v>
      </c>
      <c r="F61" s="279" t="s">
        <v>99</v>
      </c>
      <c r="G61" s="279" t="s">
        <v>400</v>
      </c>
      <c r="H61" s="279" t="s">
        <v>373</v>
      </c>
      <c r="I61" s="279" t="s">
        <v>210</v>
      </c>
      <c r="J61" s="279">
        <v>24</v>
      </c>
      <c r="K61" s="279" t="s">
        <v>104</v>
      </c>
      <c r="L61" s="279" t="s">
        <v>104</v>
      </c>
      <c r="M61" s="279" t="s">
        <v>47</v>
      </c>
      <c r="N61" s="280" t="s">
        <v>47</v>
      </c>
      <c r="O61" s="279" t="s">
        <v>224</v>
      </c>
      <c r="P61" s="280" t="s">
        <v>227</v>
      </c>
      <c r="Q61" s="279">
        <v>5</v>
      </c>
      <c r="R61" s="279">
        <v>2</v>
      </c>
      <c r="S61" s="279">
        <v>1</v>
      </c>
      <c r="T61" s="279">
        <v>2</v>
      </c>
      <c r="U61" s="280">
        <v>4</v>
      </c>
      <c r="V61" s="279">
        <v>5</v>
      </c>
      <c r="W61" s="279">
        <v>2</v>
      </c>
      <c r="X61" s="279">
        <v>1</v>
      </c>
      <c r="Y61" s="279">
        <v>3</v>
      </c>
      <c r="Z61" s="280">
        <v>5</v>
      </c>
      <c r="AA61" s="279">
        <v>6</v>
      </c>
      <c r="AB61" s="279">
        <v>8</v>
      </c>
      <c r="AC61" s="279">
        <v>1</v>
      </c>
      <c r="AD61" s="279" t="s">
        <v>41</v>
      </c>
      <c r="AE61" s="279">
        <v>4</v>
      </c>
      <c r="AF61" s="279" t="s">
        <v>41</v>
      </c>
      <c r="AG61" s="279">
        <v>1</v>
      </c>
      <c r="AH61" s="279" t="s">
        <v>41</v>
      </c>
      <c r="AI61" s="279">
        <v>9</v>
      </c>
      <c r="AJ61" s="279">
        <v>10</v>
      </c>
      <c r="AK61" s="280">
        <v>10</v>
      </c>
      <c r="AL61" s="279">
        <v>5</v>
      </c>
      <c r="AM61" s="279">
        <v>4</v>
      </c>
      <c r="AN61" s="280">
        <v>4</v>
      </c>
      <c r="AO61" s="281" t="s">
        <v>41</v>
      </c>
      <c r="AP61" s="280">
        <v>0</v>
      </c>
      <c r="AQ61" s="282">
        <f t="shared" si="61"/>
        <v>2.1666666666666665</v>
      </c>
      <c r="AR61" s="283" t="str">
        <f t="shared" si="62"/>
        <v>Minors</v>
      </c>
      <c r="AS61" s="282">
        <f t="shared" si="63"/>
        <v>2.5</v>
      </c>
      <c r="AT61" s="282" t="str">
        <f t="shared" si="64"/>
        <v>Minors</v>
      </c>
      <c r="AU61" s="283">
        <f t="shared" si="65"/>
        <v>2.5</v>
      </c>
      <c r="AV61" s="283" t="str">
        <f t="shared" si="66"/>
        <v>Minors</v>
      </c>
      <c r="AW61" s="284">
        <f t="shared" si="67"/>
        <v>0</v>
      </c>
      <c r="AX61" s="285">
        <f t="shared" si="68"/>
        <v>0</v>
      </c>
      <c r="AY61" s="285">
        <f t="shared" si="69"/>
        <v>0</v>
      </c>
      <c r="AZ61" s="285">
        <f t="shared" si="70"/>
        <v>0</v>
      </c>
      <c r="BA61" s="285">
        <f t="shared" si="71"/>
        <v>0</v>
      </c>
      <c r="BB61" s="285">
        <f t="shared" si="72"/>
        <v>0</v>
      </c>
      <c r="BC61" s="285">
        <f t="shared" si="73"/>
        <v>0</v>
      </c>
      <c r="BD61" s="285">
        <f t="shared" si="74"/>
        <v>0</v>
      </c>
      <c r="BE61" s="280">
        <f t="shared" si="75"/>
        <v>0</v>
      </c>
      <c r="BF61" s="284">
        <f t="shared" si="76"/>
        <v>0</v>
      </c>
      <c r="BG61" s="285">
        <f t="shared" si="77"/>
        <v>0</v>
      </c>
      <c r="BH61" s="285">
        <f t="shared" si="78"/>
        <v>0</v>
      </c>
      <c r="BI61" s="285">
        <f t="shared" si="79"/>
        <v>0</v>
      </c>
      <c r="BJ61" s="285">
        <f t="shared" si="80"/>
        <v>0</v>
      </c>
      <c r="BK61" s="285">
        <f t="shared" si="81"/>
        <v>0</v>
      </c>
      <c r="BL61" s="285">
        <f t="shared" si="82"/>
        <v>0</v>
      </c>
      <c r="BM61" s="285">
        <f t="shared" si="83"/>
        <v>0</v>
      </c>
      <c r="BN61" s="280">
        <f t="shared" si="84"/>
        <v>0</v>
      </c>
      <c r="BO61" s="280">
        <f t="shared" si="85"/>
        <v>0</v>
      </c>
      <c r="BP61" s="286">
        <f t="shared" si="86"/>
        <v>2</v>
      </c>
      <c r="BQ61" s="279" t="str">
        <f t="shared" si="87"/>
        <v/>
      </c>
      <c r="BR61" s="278" t="str">
        <f t="shared" si="88"/>
        <v>Unlikely</v>
      </c>
      <c r="BS61" s="279" t="str">
        <f t="shared" si="89"/>
        <v>aack!</v>
      </c>
      <c r="BT61" s="279" t="str">
        <f t="shared" si="90"/>
        <v>aack!</v>
      </c>
      <c r="BU61" s="279" t="str">
        <f t="shared" si="91"/>
        <v>AAA</v>
      </c>
      <c r="BV61" s="279">
        <f t="shared" si="92"/>
        <v>0</v>
      </c>
      <c r="BW61" s="279">
        <f t="shared" si="93"/>
        <v>0</v>
      </c>
      <c r="BX61" s="279">
        <f t="shared" si="94"/>
        <v>0</v>
      </c>
      <c r="BY61" s="279">
        <f t="shared" si="95"/>
        <v>-1</v>
      </c>
      <c r="BZ61" s="279">
        <f t="shared" si="96"/>
        <v>-1</v>
      </c>
      <c r="CA61" s="279">
        <f t="shared" si="97"/>
        <v>-2</v>
      </c>
      <c r="CB61" s="279">
        <f t="shared" si="98"/>
        <v>9</v>
      </c>
      <c r="CC61" s="279">
        <f t="shared" si="99"/>
        <v>6</v>
      </c>
      <c r="CD61" s="279">
        <f t="shared" si="100"/>
        <v>8</v>
      </c>
      <c r="CE61" s="279" t="str">
        <f t="shared" si="101"/>
        <v>With Dev</v>
      </c>
      <c r="CF61" s="294" t="str">
        <f t="shared" si="102"/>
        <v/>
      </c>
      <c r="CG61" s="294" t="str">
        <f t="shared" si="103"/>
        <v/>
      </c>
      <c r="CH61" s="294" t="str">
        <f t="shared" si="104"/>
        <v/>
      </c>
      <c r="CI61" s="294" t="str">
        <f t="shared" si="105"/>
        <v/>
      </c>
      <c r="CJ61" s="294" t="str">
        <f t="shared" si="110"/>
        <v/>
      </c>
      <c r="CK61" s="294" t="str">
        <f t="shared" si="106"/>
        <v>X</v>
      </c>
      <c r="CL61" s="294" t="str">
        <f t="shared" si="107"/>
        <v>X</v>
      </c>
      <c r="CM61" s="294" t="str">
        <f t="shared" si="108"/>
        <v>X</v>
      </c>
      <c r="CN61" s="294" t="str">
        <f t="shared" si="109"/>
        <v/>
      </c>
    </row>
    <row r="62" spans="1:92">
      <c r="A62" s="277" t="str">
        <f>IF(ISERROR(VLOOKUP(G62,CON!$C$3:$C$24,1,FALSE)),IF(ISERROR(VLOOKUP(G62,'PSP-AAA'!$C$6:$C$33,1,FALSE)),IF(ISERROR(VLOOKUP(G62,'NH-AA'!$C$6:$C$33,1,FALSE)),IF(ISERROR(VLOOKUP(G62,'CRG-A'!$C$6:$C$33,1,FALSE)),IF(ISERROR(VLOOKUP(G62,'PC-S A'!$C$6:$C$33,1,FALSE)),"","S A"),"A"),"AA"),"AAA"),"ML")</f>
        <v>A</v>
      </c>
      <c r="B62" s="278"/>
      <c r="C62" s="279" t="str">
        <f t="shared" si="58"/>
        <v>-</v>
      </c>
      <c r="D62" s="279" t="str">
        <f t="shared" si="59"/>
        <v>-</v>
      </c>
      <c r="E62" s="279" t="str">
        <f t="shared" si="60"/>
        <v>T</v>
      </c>
      <c r="F62" s="279" t="s">
        <v>100</v>
      </c>
      <c r="G62" s="279" t="s">
        <v>468</v>
      </c>
      <c r="H62" s="279" t="s">
        <v>373</v>
      </c>
      <c r="I62" s="279" t="s">
        <v>210</v>
      </c>
      <c r="J62" s="279">
        <v>23</v>
      </c>
      <c r="K62" s="279" t="s">
        <v>104</v>
      </c>
      <c r="L62" s="279" t="s">
        <v>104</v>
      </c>
      <c r="M62" s="279" t="s">
        <v>47</v>
      </c>
      <c r="N62" s="280" t="s">
        <v>47</v>
      </c>
      <c r="O62" s="279" t="s">
        <v>225</v>
      </c>
      <c r="P62" s="280" t="s">
        <v>225</v>
      </c>
      <c r="Q62" s="279">
        <v>4</v>
      </c>
      <c r="R62" s="279">
        <v>3</v>
      </c>
      <c r="S62" s="279">
        <v>2</v>
      </c>
      <c r="T62" s="279">
        <v>3</v>
      </c>
      <c r="U62" s="280">
        <v>2</v>
      </c>
      <c r="V62" s="279">
        <v>5</v>
      </c>
      <c r="W62" s="279">
        <v>3</v>
      </c>
      <c r="X62" s="279">
        <v>5</v>
      </c>
      <c r="Y62" s="279">
        <v>3</v>
      </c>
      <c r="Z62" s="280">
        <v>3</v>
      </c>
      <c r="AA62" s="279">
        <v>1</v>
      </c>
      <c r="AB62" s="279">
        <v>7</v>
      </c>
      <c r="AC62" s="279">
        <v>1</v>
      </c>
      <c r="AD62" s="279" t="s">
        <v>41</v>
      </c>
      <c r="AE62" s="279">
        <v>1</v>
      </c>
      <c r="AF62" s="279" t="s">
        <v>41</v>
      </c>
      <c r="AG62" s="279" t="s">
        <v>41</v>
      </c>
      <c r="AH62" s="279" t="s">
        <v>41</v>
      </c>
      <c r="AI62" s="279">
        <v>3</v>
      </c>
      <c r="AJ62" s="279" t="s">
        <v>41</v>
      </c>
      <c r="AK62" s="280">
        <v>3</v>
      </c>
      <c r="AL62" s="279">
        <v>4</v>
      </c>
      <c r="AM62" s="279">
        <v>6</v>
      </c>
      <c r="AN62" s="280">
        <v>5</v>
      </c>
      <c r="AO62" s="281" t="s">
        <v>41</v>
      </c>
      <c r="AP62" s="280">
        <v>0</v>
      </c>
      <c r="AQ62" s="282">
        <f t="shared" si="61"/>
        <v>2</v>
      </c>
      <c r="AR62" s="283" t="str">
        <f t="shared" si="62"/>
        <v>Minors</v>
      </c>
      <c r="AS62" s="282">
        <f t="shared" si="63"/>
        <v>3.833333333333333</v>
      </c>
      <c r="AT62" s="282" t="str">
        <f t="shared" si="64"/>
        <v>Minors</v>
      </c>
      <c r="AU62" s="283">
        <f t="shared" si="65"/>
        <v>3.833333333333333</v>
      </c>
      <c r="AV62" s="283" t="str">
        <f t="shared" si="66"/>
        <v>Minors</v>
      </c>
      <c r="AW62" s="284">
        <f t="shared" si="67"/>
        <v>0</v>
      </c>
      <c r="AX62" s="285">
        <f t="shared" si="68"/>
        <v>0</v>
      </c>
      <c r="AY62" s="285">
        <f t="shared" si="69"/>
        <v>0</v>
      </c>
      <c r="AZ62" s="285">
        <f t="shared" si="70"/>
        <v>0</v>
      </c>
      <c r="BA62" s="285">
        <f t="shared" si="71"/>
        <v>0</v>
      </c>
      <c r="BB62" s="285">
        <f t="shared" si="72"/>
        <v>0</v>
      </c>
      <c r="BC62" s="285">
        <f t="shared" si="73"/>
        <v>0</v>
      </c>
      <c r="BD62" s="285">
        <f t="shared" si="74"/>
        <v>0</v>
      </c>
      <c r="BE62" s="280">
        <f t="shared" si="75"/>
        <v>0</v>
      </c>
      <c r="BF62" s="284">
        <f t="shared" si="76"/>
        <v>0</v>
      </c>
      <c r="BG62" s="285">
        <f t="shared" si="77"/>
        <v>0</v>
      </c>
      <c r="BH62" s="285">
        <f t="shared" si="78"/>
        <v>0</v>
      </c>
      <c r="BI62" s="285">
        <f t="shared" si="79"/>
        <v>0</v>
      </c>
      <c r="BJ62" s="285">
        <f t="shared" si="80"/>
        <v>0</v>
      </c>
      <c r="BK62" s="285">
        <f t="shared" si="81"/>
        <v>0</v>
      </c>
      <c r="BL62" s="285">
        <f t="shared" si="82"/>
        <v>0</v>
      </c>
      <c r="BM62" s="285">
        <f t="shared" si="83"/>
        <v>0</v>
      </c>
      <c r="BN62" s="280">
        <f t="shared" si="84"/>
        <v>0</v>
      </c>
      <c r="BO62" s="280">
        <f t="shared" si="85"/>
        <v>0</v>
      </c>
      <c r="BP62" s="286">
        <f t="shared" si="86"/>
        <v>0</v>
      </c>
      <c r="BQ62" s="279" t="str">
        <f t="shared" si="87"/>
        <v/>
      </c>
      <c r="BR62" s="278" t="str">
        <f t="shared" si="88"/>
        <v>Unlikely</v>
      </c>
      <c r="BS62" s="279" t="str">
        <f t="shared" si="89"/>
        <v>aack!</v>
      </c>
      <c r="BT62" s="279" t="str">
        <f t="shared" si="90"/>
        <v>Bench</v>
      </c>
      <c r="BU62" s="279" t="str">
        <f t="shared" si="91"/>
        <v>AA</v>
      </c>
      <c r="BV62" s="279">
        <f t="shared" si="92"/>
        <v>-1</v>
      </c>
      <c r="BW62" s="279">
        <f t="shared" si="93"/>
        <v>0</v>
      </c>
      <c r="BX62" s="279">
        <f t="shared" si="94"/>
        <v>-3</v>
      </c>
      <c r="BY62" s="279">
        <f t="shared" si="95"/>
        <v>0</v>
      </c>
      <c r="BZ62" s="279">
        <f t="shared" si="96"/>
        <v>-1</v>
      </c>
      <c r="CA62" s="279">
        <f t="shared" si="97"/>
        <v>-5</v>
      </c>
      <c r="CB62" s="279">
        <f t="shared" si="98"/>
        <v>13</v>
      </c>
      <c r="CC62" s="279">
        <f t="shared" si="99"/>
        <v>10</v>
      </c>
      <c r="CD62" s="279">
        <f t="shared" si="100"/>
        <v>8</v>
      </c>
      <c r="CE62" s="279" t="str">
        <f t="shared" si="101"/>
        <v>With Dev</v>
      </c>
      <c r="CF62" s="294" t="str">
        <f t="shared" si="102"/>
        <v/>
      </c>
      <c r="CG62" s="294" t="str">
        <f t="shared" si="103"/>
        <v/>
      </c>
      <c r="CH62" s="294" t="str">
        <f t="shared" si="104"/>
        <v/>
      </c>
      <c r="CI62" s="294" t="str">
        <f t="shared" si="105"/>
        <v/>
      </c>
      <c r="CJ62" s="294" t="str">
        <f t="shared" si="110"/>
        <v/>
      </c>
      <c r="CK62" s="294" t="str">
        <f t="shared" si="106"/>
        <v/>
      </c>
      <c r="CL62" s="294" t="str">
        <f t="shared" si="107"/>
        <v/>
      </c>
      <c r="CM62" s="294" t="str">
        <f t="shared" si="108"/>
        <v/>
      </c>
      <c r="CN62" s="294" t="str">
        <f t="shared" si="109"/>
        <v>X</v>
      </c>
    </row>
    <row r="63" spans="1:92">
      <c r="A63" s="277" t="str">
        <f>IF(ISERROR(VLOOKUP(G63,CON!$C$3:$C$24,1,FALSE)),IF(ISERROR(VLOOKUP(G63,'PSP-AAA'!$C$6:$C$33,1,FALSE)),IF(ISERROR(VLOOKUP(G63,'NH-AA'!$C$6:$C$33,1,FALSE)),IF(ISERROR(VLOOKUP(G63,'CRG-A'!$C$6:$C$33,1,FALSE)),IF(ISERROR(VLOOKUP(G63,'PC-S A'!$C$6:$C$33,1,FALSE)),"","S A"),"A"),"AA"),"AAA"),"ML")</f>
        <v/>
      </c>
      <c r="B63" s="278"/>
      <c r="C63" s="279" t="str">
        <f t="shared" si="58"/>
        <v>-</v>
      </c>
      <c r="D63" s="279" t="str">
        <f t="shared" si="59"/>
        <v>-</v>
      </c>
      <c r="E63" s="279" t="str">
        <f t="shared" si="60"/>
        <v>K</v>
      </c>
      <c r="F63" s="279" t="s">
        <v>95</v>
      </c>
      <c r="G63" s="279" t="s">
        <v>471</v>
      </c>
      <c r="H63" s="279" t="s">
        <v>370</v>
      </c>
      <c r="I63" s="279" t="s">
        <v>316</v>
      </c>
      <c r="J63" s="279">
        <v>23</v>
      </c>
      <c r="K63" s="279" t="s">
        <v>104</v>
      </c>
      <c r="L63" s="279" t="s">
        <v>104</v>
      </c>
      <c r="M63" s="279" t="s">
        <v>47</v>
      </c>
      <c r="N63" s="280" t="s">
        <v>47</v>
      </c>
      <c r="O63" s="279" t="s">
        <v>224</v>
      </c>
      <c r="P63" s="280" t="s">
        <v>224</v>
      </c>
      <c r="Q63" s="279">
        <v>4</v>
      </c>
      <c r="R63" s="279">
        <v>6</v>
      </c>
      <c r="S63" s="279">
        <v>2</v>
      </c>
      <c r="T63" s="279">
        <v>3</v>
      </c>
      <c r="U63" s="280">
        <v>2</v>
      </c>
      <c r="V63" s="279">
        <v>5</v>
      </c>
      <c r="W63" s="279">
        <v>6</v>
      </c>
      <c r="X63" s="279">
        <v>3</v>
      </c>
      <c r="Y63" s="279">
        <v>4</v>
      </c>
      <c r="Z63" s="280">
        <v>3</v>
      </c>
      <c r="AA63" s="279">
        <v>3</v>
      </c>
      <c r="AB63" s="279">
        <v>1</v>
      </c>
      <c r="AC63" s="279">
        <v>1</v>
      </c>
      <c r="AD63" s="279" t="s">
        <v>41</v>
      </c>
      <c r="AE63" s="279" t="s">
        <v>41</v>
      </c>
      <c r="AF63" s="279">
        <v>5</v>
      </c>
      <c r="AG63" s="279" t="s">
        <v>41</v>
      </c>
      <c r="AH63" s="279" t="s">
        <v>41</v>
      </c>
      <c r="AI63" s="279" t="s">
        <v>41</v>
      </c>
      <c r="AJ63" s="279" t="s">
        <v>41</v>
      </c>
      <c r="AK63" s="280" t="s">
        <v>41</v>
      </c>
      <c r="AL63" s="279">
        <v>8</v>
      </c>
      <c r="AM63" s="279">
        <v>9</v>
      </c>
      <c r="AN63" s="280">
        <v>9</v>
      </c>
      <c r="AO63" s="281" t="s">
        <v>41</v>
      </c>
      <c r="AP63" s="280">
        <v>0</v>
      </c>
      <c r="AQ63" s="282">
        <f t="shared" si="61"/>
        <v>2</v>
      </c>
      <c r="AR63" s="283" t="str">
        <f t="shared" si="62"/>
        <v>Minors</v>
      </c>
      <c r="AS63" s="282">
        <f t="shared" si="63"/>
        <v>3.5</v>
      </c>
      <c r="AT63" s="282" t="str">
        <f t="shared" si="64"/>
        <v>Minors</v>
      </c>
      <c r="AU63" s="283">
        <f t="shared" si="65"/>
        <v>3.5</v>
      </c>
      <c r="AV63" s="283" t="str">
        <f t="shared" si="66"/>
        <v>Minors</v>
      </c>
      <c r="AW63" s="284">
        <f t="shared" si="67"/>
        <v>0</v>
      </c>
      <c r="AX63" s="285">
        <f t="shared" si="68"/>
        <v>0</v>
      </c>
      <c r="AY63" s="285">
        <f t="shared" si="69"/>
        <v>0</v>
      </c>
      <c r="AZ63" s="285">
        <f t="shared" si="70"/>
        <v>0</v>
      </c>
      <c r="BA63" s="285">
        <f t="shared" si="71"/>
        <v>0</v>
      </c>
      <c r="BB63" s="285">
        <f t="shared" si="72"/>
        <v>0</v>
      </c>
      <c r="BC63" s="285">
        <f t="shared" si="73"/>
        <v>0</v>
      </c>
      <c r="BD63" s="285">
        <f t="shared" si="74"/>
        <v>0</v>
      </c>
      <c r="BE63" s="280">
        <f t="shared" si="75"/>
        <v>0</v>
      </c>
      <c r="BF63" s="284">
        <f t="shared" si="76"/>
        <v>0</v>
      </c>
      <c r="BG63" s="285">
        <f t="shared" si="77"/>
        <v>0</v>
      </c>
      <c r="BH63" s="285">
        <f t="shared" si="78"/>
        <v>0</v>
      </c>
      <c r="BI63" s="285">
        <f t="shared" si="79"/>
        <v>0</v>
      </c>
      <c r="BJ63" s="285">
        <f t="shared" si="80"/>
        <v>0</v>
      </c>
      <c r="BK63" s="285">
        <f t="shared" si="81"/>
        <v>0</v>
      </c>
      <c r="BL63" s="285">
        <f t="shared" si="82"/>
        <v>0</v>
      </c>
      <c r="BM63" s="285">
        <f t="shared" si="83"/>
        <v>0</v>
      </c>
      <c r="BN63" s="280">
        <f t="shared" si="84"/>
        <v>0</v>
      </c>
      <c r="BO63" s="280">
        <f t="shared" si="85"/>
        <v>5</v>
      </c>
      <c r="BP63" s="286">
        <f t="shared" si="86"/>
        <v>1</v>
      </c>
      <c r="BQ63" s="279" t="str">
        <f t="shared" si="87"/>
        <v/>
      </c>
      <c r="BR63" s="278" t="str">
        <f t="shared" si="88"/>
        <v>Unlikely</v>
      </c>
      <c r="BS63" s="279" t="str">
        <f t="shared" si="89"/>
        <v>aack!</v>
      </c>
      <c r="BT63" s="279" t="str">
        <f t="shared" si="90"/>
        <v>aack!</v>
      </c>
      <c r="BU63" s="279" t="str">
        <f t="shared" si="91"/>
        <v>AA</v>
      </c>
      <c r="BV63" s="279">
        <f t="shared" si="92"/>
        <v>-1</v>
      </c>
      <c r="BW63" s="279">
        <f t="shared" si="93"/>
        <v>0</v>
      </c>
      <c r="BX63" s="279">
        <f t="shared" si="94"/>
        <v>-1</v>
      </c>
      <c r="BY63" s="279">
        <f t="shared" si="95"/>
        <v>-1</v>
      </c>
      <c r="BZ63" s="279">
        <f t="shared" si="96"/>
        <v>-1</v>
      </c>
      <c r="CA63" s="279">
        <f t="shared" si="97"/>
        <v>-4</v>
      </c>
      <c r="CB63" s="279">
        <f t="shared" si="98"/>
        <v>12</v>
      </c>
      <c r="CC63" s="279">
        <f t="shared" si="99"/>
        <v>8</v>
      </c>
      <c r="CD63" s="279">
        <f t="shared" si="100"/>
        <v>9</v>
      </c>
      <c r="CE63" s="279" t="str">
        <f t="shared" si="101"/>
        <v>With Dev</v>
      </c>
      <c r="CF63" s="294" t="str">
        <f t="shared" si="102"/>
        <v/>
      </c>
      <c r="CG63" s="294" t="str">
        <f t="shared" si="103"/>
        <v/>
      </c>
      <c r="CH63" s="294" t="str">
        <f t="shared" si="104"/>
        <v/>
      </c>
      <c r="CI63" s="294" t="str">
        <f t="shared" si="105"/>
        <v/>
      </c>
      <c r="CJ63" s="294" t="str">
        <f t="shared" si="110"/>
        <v/>
      </c>
      <c r="CK63" s="294" t="str">
        <f t="shared" si="106"/>
        <v/>
      </c>
      <c r="CL63" s="294" t="str">
        <f t="shared" si="107"/>
        <v/>
      </c>
      <c r="CM63" s="294" t="str">
        <f t="shared" si="108"/>
        <v/>
      </c>
      <c r="CN63" s="294" t="str">
        <f t="shared" si="109"/>
        <v>X</v>
      </c>
    </row>
    <row r="64" spans="1:92">
      <c r="A64" s="277" t="str">
        <f>IF(ISERROR(VLOOKUP(G64,CON!$C$3:$C$24,1,FALSE)),IF(ISERROR(VLOOKUP(G64,'PSP-AAA'!$C$6:$C$33,1,FALSE)),IF(ISERROR(VLOOKUP(G64,'NH-AA'!$C$6:$C$33,1,FALSE)),IF(ISERROR(VLOOKUP(G64,'CRG-A'!$C$6:$C$33,1,FALSE)),IF(ISERROR(VLOOKUP(G64,'PC-S A'!$C$6:$C$33,1,FALSE)),"","S A"),"A"),"AA"),"AAA"),"ML")</f>
        <v/>
      </c>
      <c r="B64" s="278"/>
      <c r="C64" s="279" t="str">
        <f t="shared" si="58"/>
        <v>-</v>
      </c>
      <c r="D64" s="279" t="str">
        <f t="shared" si="59"/>
        <v>-</v>
      </c>
      <c r="E64" s="279" t="str">
        <f t="shared" si="60"/>
        <v>T</v>
      </c>
      <c r="F64" s="279" t="s">
        <v>96</v>
      </c>
      <c r="G64" s="279" t="s">
        <v>590</v>
      </c>
      <c r="H64" s="279" t="s">
        <v>373</v>
      </c>
      <c r="I64" s="279" t="s">
        <v>210</v>
      </c>
      <c r="J64" s="279">
        <v>22</v>
      </c>
      <c r="K64" s="279" t="s">
        <v>104</v>
      </c>
      <c r="L64" s="279" t="s">
        <v>104</v>
      </c>
      <c r="M64" s="279" t="s">
        <v>47</v>
      </c>
      <c r="N64" s="280" t="s">
        <v>47</v>
      </c>
      <c r="O64" s="279" t="s">
        <v>227</v>
      </c>
      <c r="P64" s="280" t="s">
        <v>226</v>
      </c>
      <c r="Q64" s="279">
        <v>4</v>
      </c>
      <c r="R64" s="279">
        <v>2</v>
      </c>
      <c r="S64" s="279">
        <v>2</v>
      </c>
      <c r="T64" s="279">
        <v>3</v>
      </c>
      <c r="U64" s="280">
        <v>2</v>
      </c>
      <c r="V64" s="279">
        <v>5</v>
      </c>
      <c r="W64" s="279">
        <v>3</v>
      </c>
      <c r="X64" s="279">
        <v>2</v>
      </c>
      <c r="Y64" s="279">
        <v>4</v>
      </c>
      <c r="Z64" s="280">
        <v>3</v>
      </c>
      <c r="AA64" s="279">
        <v>6</v>
      </c>
      <c r="AB64" s="279">
        <v>6</v>
      </c>
      <c r="AC64" s="279">
        <v>1</v>
      </c>
      <c r="AD64" s="279" t="s">
        <v>41</v>
      </c>
      <c r="AE64" s="279">
        <v>10</v>
      </c>
      <c r="AF64" s="279">
        <v>4</v>
      </c>
      <c r="AG64" s="279">
        <v>5</v>
      </c>
      <c r="AH64" s="279">
        <v>4</v>
      </c>
      <c r="AI64" s="279" t="s">
        <v>41</v>
      </c>
      <c r="AJ64" s="279">
        <v>1</v>
      </c>
      <c r="AK64" s="280" t="s">
        <v>41</v>
      </c>
      <c r="AL64" s="279">
        <v>8</v>
      </c>
      <c r="AM64" s="279">
        <v>4</v>
      </c>
      <c r="AN64" s="280">
        <v>5</v>
      </c>
      <c r="AO64" s="281" t="s">
        <v>41</v>
      </c>
      <c r="AP64" s="280" t="s">
        <v>45</v>
      </c>
      <c r="AQ64" s="282">
        <f t="shared" si="61"/>
        <v>2</v>
      </c>
      <c r="AR64" s="283" t="str">
        <f t="shared" si="62"/>
        <v>Minors</v>
      </c>
      <c r="AS64" s="282">
        <f t="shared" si="63"/>
        <v>3.1666666666666665</v>
      </c>
      <c r="AT64" s="282" t="str">
        <f t="shared" si="64"/>
        <v>Minors</v>
      </c>
      <c r="AU64" s="283">
        <f t="shared" si="65"/>
        <v>3.1666666666666665</v>
      </c>
      <c r="AV64" s="283" t="str">
        <f t="shared" si="66"/>
        <v>Minors</v>
      </c>
      <c r="AW64" s="284">
        <f t="shared" si="67"/>
        <v>0</v>
      </c>
      <c r="AX64" s="285">
        <f t="shared" si="68"/>
        <v>0</v>
      </c>
      <c r="AY64" s="285">
        <f t="shared" si="69"/>
        <v>0</v>
      </c>
      <c r="AZ64" s="285">
        <f t="shared" si="70"/>
        <v>0</v>
      </c>
      <c r="BA64" s="285">
        <f t="shared" si="71"/>
        <v>0</v>
      </c>
      <c r="BB64" s="285">
        <f t="shared" si="72"/>
        <v>0</v>
      </c>
      <c r="BC64" s="285">
        <f t="shared" si="73"/>
        <v>0</v>
      </c>
      <c r="BD64" s="285">
        <f t="shared" si="74"/>
        <v>0</v>
      </c>
      <c r="BE64" s="280">
        <f t="shared" si="75"/>
        <v>0</v>
      </c>
      <c r="BF64" s="284">
        <f t="shared" si="76"/>
        <v>0</v>
      </c>
      <c r="BG64" s="285">
        <f t="shared" si="77"/>
        <v>0</v>
      </c>
      <c r="BH64" s="285">
        <f t="shared" si="78"/>
        <v>0</v>
      </c>
      <c r="BI64" s="285">
        <f t="shared" si="79"/>
        <v>0</v>
      </c>
      <c r="BJ64" s="285">
        <f t="shared" si="80"/>
        <v>0</v>
      </c>
      <c r="BK64" s="285">
        <f t="shared" si="81"/>
        <v>0</v>
      </c>
      <c r="BL64" s="285">
        <f t="shared" si="82"/>
        <v>0</v>
      </c>
      <c r="BM64" s="285">
        <f t="shared" si="83"/>
        <v>0</v>
      </c>
      <c r="BN64" s="280">
        <f t="shared" si="84"/>
        <v>0</v>
      </c>
      <c r="BO64" s="280">
        <f t="shared" si="85"/>
        <v>1</v>
      </c>
      <c r="BP64" s="286">
        <f t="shared" si="86"/>
        <v>2</v>
      </c>
      <c r="BQ64" s="279" t="str">
        <f t="shared" si="87"/>
        <v/>
      </c>
      <c r="BR64" s="278" t="str">
        <f t="shared" si="88"/>
        <v>Unlikely</v>
      </c>
      <c r="BS64" s="279" t="str">
        <f t="shared" si="89"/>
        <v>aack!</v>
      </c>
      <c r="BT64" s="279" t="str">
        <f t="shared" si="90"/>
        <v>aack!</v>
      </c>
      <c r="BU64" s="279" t="str">
        <f t="shared" si="91"/>
        <v>AA</v>
      </c>
      <c r="BV64" s="279">
        <f t="shared" si="92"/>
        <v>-1</v>
      </c>
      <c r="BW64" s="279">
        <f t="shared" si="93"/>
        <v>-1</v>
      </c>
      <c r="BX64" s="279">
        <f t="shared" si="94"/>
        <v>0</v>
      </c>
      <c r="BY64" s="279">
        <f t="shared" si="95"/>
        <v>-1</v>
      </c>
      <c r="BZ64" s="279">
        <f t="shared" si="96"/>
        <v>-1</v>
      </c>
      <c r="CA64" s="279">
        <f t="shared" si="97"/>
        <v>-4</v>
      </c>
      <c r="CB64" s="279">
        <f t="shared" si="98"/>
        <v>11</v>
      </c>
      <c r="CC64" s="279">
        <f t="shared" si="99"/>
        <v>7</v>
      </c>
      <c r="CD64" s="279">
        <f t="shared" si="100"/>
        <v>9</v>
      </c>
      <c r="CE64" s="279" t="str">
        <f t="shared" si="101"/>
        <v>With Dev</v>
      </c>
      <c r="CF64" s="294" t="str">
        <f t="shared" si="102"/>
        <v/>
      </c>
      <c r="CG64" s="294" t="str">
        <f t="shared" si="103"/>
        <v>X</v>
      </c>
      <c r="CH64" s="294" t="str">
        <f t="shared" si="104"/>
        <v/>
      </c>
      <c r="CI64" s="294" t="str">
        <f t="shared" si="105"/>
        <v/>
      </c>
      <c r="CJ64" s="294" t="str">
        <f t="shared" si="110"/>
        <v/>
      </c>
      <c r="CK64" s="294" t="str">
        <f t="shared" si="106"/>
        <v/>
      </c>
      <c r="CL64" s="294" t="str">
        <f t="shared" si="107"/>
        <v/>
      </c>
      <c r="CM64" s="294" t="str">
        <f t="shared" si="108"/>
        <v/>
      </c>
      <c r="CN64" s="294" t="str">
        <f t="shared" si="109"/>
        <v/>
      </c>
    </row>
    <row r="65" spans="1:92">
      <c r="A65" s="277" t="str">
        <f>IF(ISERROR(VLOOKUP(G65,CON!$C$3:$C$24,1,FALSE)),IF(ISERROR(VLOOKUP(G65,'PSP-AAA'!$C$6:$C$33,1,FALSE)),IF(ISERROR(VLOOKUP(G65,'NH-AA'!$C$6:$C$33,1,FALSE)),IF(ISERROR(VLOOKUP(G65,'CRG-A'!$C$6:$C$33,1,FALSE)),IF(ISERROR(VLOOKUP(G65,'PC-S A'!$C$6:$C$33,1,FALSE)),"","S A"),"A"),"AA"),"AAA"),"ML")</f>
        <v/>
      </c>
      <c r="B65" s="278"/>
      <c r="C65" s="279" t="str">
        <f t="shared" si="58"/>
        <v>-</v>
      </c>
      <c r="D65" s="279" t="str">
        <f t="shared" si="59"/>
        <v>-</v>
      </c>
      <c r="E65" s="279" t="str">
        <f t="shared" si="60"/>
        <v>T</v>
      </c>
      <c r="F65" s="279" t="s">
        <v>99</v>
      </c>
      <c r="G65" s="279" t="s">
        <v>591</v>
      </c>
      <c r="H65" s="279" t="s">
        <v>370</v>
      </c>
      <c r="I65" s="279" t="s">
        <v>316</v>
      </c>
      <c r="J65" s="279">
        <v>21</v>
      </c>
      <c r="K65" s="279" t="s">
        <v>104</v>
      </c>
      <c r="L65" s="279" t="s">
        <v>104</v>
      </c>
      <c r="M65" s="279" t="s">
        <v>47</v>
      </c>
      <c r="N65" s="280" t="s">
        <v>47</v>
      </c>
      <c r="O65" s="279" t="s">
        <v>227</v>
      </c>
      <c r="P65" s="280" t="s">
        <v>227</v>
      </c>
      <c r="Q65" s="279">
        <v>4</v>
      </c>
      <c r="R65" s="279">
        <v>3</v>
      </c>
      <c r="S65" s="279">
        <v>1</v>
      </c>
      <c r="T65" s="279">
        <v>3</v>
      </c>
      <c r="U65" s="280">
        <v>2</v>
      </c>
      <c r="V65" s="279">
        <v>5</v>
      </c>
      <c r="W65" s="279">
        <v>5</v>
      </c>
      <c r="X65" s="279">
        <v>2</v>
      </c>
      <c r="Y65" s="279">
        <v>4</v>
      </c>
      <c r="Z65" s="280">
        <v>4</v>
      </c>
      <c r="AA65" s="279">
        <v>4</v>
      </c>
      <c r="AB65" s="279">
        <v>5</v>
      </c>
      <c r="AC65" s="279">
        <v>1</v>
      </c>
      <c r="AD65" s="279" t="s">
        <v>41</v>
      </c>
      <c r="AE65" s="279" t="s">
        <v>41</v>
      </c>
      <c r="AF65" s="279" t="s">
        <v>41</v>
      </c>
      <c r="AG65" s="279" t="s">
        <v>41</v>
      </c>
      <c r="AH65" s="279" t="s">
        <v>41</v>
      </c>
      <c r="AI65" s="279">
        <v>6</v>
      </c>
      <c r="AJ65" s="279">
        <v>6</v>
      </c>
      <c r="AK65" s="280">
        <v>4</v>
      </c>
      <c r="AL65" s="279">
        <v>8</v>
      </c>
      <c r="AM65" s="279">
        <v>10</v>
      </c>
      <c r="AN65" s="280">
        <v>10</v>
      </c>
      <c r="AO65" s="281" t="s">
        <v>41</v>
      </c>
      <c r="AP65" s="280" t="s">
        <v>45</v>
      </c>
      <c r="AQ65" s="282">
        <f t="shared" si="61"/>
        <v>1.6666666666666665</v>
      </c>
      <c r="AR65" s="283" t="str">
        <f t="shared" si="62"/>
        <v>Minors</v>
      </c>
      <c r="AS65" s="282">
        <f t="shared" si="63"/>
        <v>3.1666666666666665</v>
      </c>
      <c r="AT65" s="282" t="str">
        <f t="shared" si="64"/>
        <v>Minors</v>
      </c>
      <c r="AU65" s="283">
        <f t="shared" si="65"/>
        <v>3.1666666666666665</v>
      </c>
      <c r="AV65" s="283" t="str">
        <f t="shared" si="66"/>
        <v>Minors</v>
      </c>
      <c r="AW65" s="284">
        <f t="shared" si="67"/>
        <v>0</v>
      </c>
      <c r="AX65" s="285">
        <f t="shared" si="68"/>
        <v>0</v>
      </c>
      <c r="AY65" s="285">
        <f t="shared" si="69"/>
        <v>0</v>
      </c>
      <c r="AZ65" s="285">
        <f t="shared" si="70"/>
        <v>0</v>
      </c>
      <c r="BA65" s="285">
        <f t="shared" si="71"/>
        <v>0</v>
      </c>
      <c r="BB65" s="285">
        <f t="shared" si="72"/>
        <v>0</v>
      </c>
      <c r="BC65" s="285">
        <f t="shared" si="73"/>
        <v>0</v>
      </c>
      <c r="BD65" s="285">
        <f t="shared" si="74"/>
        <v>0</v>
      </c>
      <c r="BE65" s="280">
        <f t="shared" si="75"/>
        <v>0</v>
      </c>
      <c r="BF65" s="284">
        <f t="shared" si="76"/>
        <v>0</v>
      </c>
      <c r="BG65" s="285">
        <f t="shared" si="77"/>
        <v>0</v>
      </c>
      <c r="BH65" s="285">
        <f t="shared" si="78"/>
        <v>0</v>
      </c>
      <c r="BI65" s="285">
        <f t="shared" si="79"/>
        <v>0</v>
      </c>
      <c r="BJ65" s="285">
        <f t="shared" si="80"/>
        <v>0</v>
      </c>
      <c r="BK65" s="285">
        <f t="shared" si="81"/>
        <v>0</v>
      </c>
      <c r="BL65" s="285">
        <f t="shared" si="82"/>
        <v>0</v>
      </c>
      <c r="BM65" s="285">
        <f t="shared" si="83"/>
        <v>0</v>
      </c>
      <c r="BN65" s="280">
        <f t="shared" si="84"/>
        <v>0</v>
      </c>
      <c r="BO65" s="280">
        <f t="shared" si="85"/>
        <v>5</v>
      </c>
      <c r="BP65" s="286">
        <f t="shared" si="86"/>
        <v>1</v>
      </c>
      <c r="BQ65" s="279" t="str">
        <f t="shared" si="87"/>
        <v/>
      </c>
      <c r="BR65" s="278" t="str">
        <f t="shared" si="88"/>
        <v>Unlikely</v>
      </c>
      <c r="BS65" s="279" t="str">
        <f t="shared" si="89"/>
        <v>aack!</v>
      </c>
      <c r="BT65" s="279" t="str">
        <f t="shared" si="90"/>
        <v>aack!</v>
      </c>
      <c r="BU65" s="279" t="str">
        <f t="shared" si="91"/>
        <v>AA</v>
      </c>
      <c r="BV65" s="279">
        <f t="shared" si="92"/>
        <v>-1</v>
      </c>
      <c r="BW65" s="279">
        <f t="shared" si="93"/>
        <v>-2</v>
      </c>
      <c r="BX65" s="279">
        <f t="shared" si="94"/>
        <v>-1</v>
      </c>
      <c r="BY65" s="279">
        <f t="shared" si="95"/>
        <v>-1</v>
      </c>
      <c r="BZ65" s="279">
        <f t="shared" si="96"/>
        <v>-2</v>
      </c>
      <c r="CA65" s="279">
        <f t="shared" si="97"/>
        <v>-7</v>
      </c>
      <c r="CB65" s="279">
        <f t="shared" si="98"/>
        <v>11</v>
      </c>
      <c r="CC65" s="279">
        <f t="shared" si="99"/>
        <v>7</v>
      </c>
      <c r="CD65" s="279">
        <f t="shared" si="100"/>
        <v>9</v>
      </c>
      <c r="CE65" s="279" t="str">
        <f t="shared" si="101"/>
        <v>With Dev</v>
      </c>
      <c r="CF65" s="294" t="str">
        <f t="shared" si="102"/>
        <v/>
      </c>
      <c r="CG65" s="294" t="str">
        <f t="shared" si="103"/>
        <v/>
      </c>
      <c r="CH65" s="294" t="str">
        <f t="shared" si="104"/>
        <v/>
      </c>
      <c r="CI65" s="294" t="str">
        <f t="shared" si="105"/>
        <v/>
      </c>
      <c r="CJ65" s="294" t="str">
        <f t="shared" si="110"/>
        <v/>
      </c>
      <c r="CK65" s="294" t="str">
        <f t="shared" si="106"/>
        <v>X</v>
      </c>
      <c r="CL65" s="294" t="str">
        <f t="shared" si="107"/>
        <v/>
      </c>
      <c r="CM65" s="294" t="str">
        <f t="shared" si="108"/>
        <v/>
      </c>
      <c r="CN65" s="294" t="str">
        <f t="shared" si="109"/>
        <v/>
      </c>
    </row>
    <row r="66" spans="1:92">
      <c r="A66" s="277" t="str">
        <f>IF(ISERROR(VLOOKUP(G66,CON!$C$3:$C$24,1,FALSE)),IF(ISERROR(VLOOKUP(G66,'PSP-AAA'!$C$6:$C$33,1,FALSE)),IF(ISERROR(VLOOKUP(G66,'NH-AA'!$C$6:$C$33,1,FALSE)),IF(ISERROR(VLOOKUP(G66,'CRG-A'!$C$6:$C$33,1,FALSE)),IF(ISERROR(VLOOKUP(G66,'PC-S A'!$C$6:$C$33,1,FALSE)),"","S A"),"A"),"AA"),"AAA"),"ML")</f>
        <v/>
      </c>
      <c r="B66" s="278"/>
      <c r="C66" s="279" t="str">
        <f t="shared" si="58"/>
        <v>-</v>
      </c>
      <c r="D66" s="279" t="str">
        <f t="shared" si="59"/>
        <v>-</v>
      </c>
      <c r="E66" s="279" t="str">
        <f t="shared" si="60"/>
        <v>T</v>
      </c>
      <c r="F66" s="279" t="s">
        <v>92</v>
      </c>
      <c r="G66" s="279" t="s">
        <v>527</v>
      </c>
      <c r="H66" s="279" t="s">
        <v>370</v>
      </c>
      <c r="I66" s="279" t="s">
        <v>316</v>
      </c>
      <c r="J66" s="279">
        <v>23</v>
      </c>
      <c r="K66" s="279" t="s">
        <v>104</v>
      </c>
      <c r="L66" s="279" t="s">
        <v>104</v>
      </c>
      <c r="M66" s="279" t="s">
        <v>47</v>
      </c>
      <c r="N66" s="280" t="s">
        <v>47</v>
      </c>
      <c r="O66" s="279" t="s">
        <v>225</v>
      </c>
      <c r="P66" s="280" t="s">
        <v>225</v>
      </c>
      <c r="Q66" s="279">
        <v>3</v>
      </c>
      <c r="R66" s="279">
        <v>9</v>
      </c>
      <c r="S66" s="279">
        <v>2</v>
      </c>
      <c r="T66" s="279">
        <v>4</v>
      </c>
      <c r="U66" s="280">
        <v>2</v>
      </c>
      <c r="V66" s="279">
        <v>4</v>
      </c>
      <c r="W66" s="279">
        <v>9</v>
      </c>
      <c r="X66" s="279">
        <v>2</v>
      </c>
      <c r="Y66" s="279">
        <v>5</v>
      </c>
      <c r="Z66" s="280">
        <v>3</v>
      </c>
      <c r="AA66" s="279">
        <v>3</v>
      </c>
      <c r="AB66" s="279">
        <v>3</v>
      </c>
      <c r="AC66" s="279">
        <v>5</v>
      </c>
      <c r="AD66" s="279">
        <v>4</v>
      </c>
      <c r="AE66" s="279" t="s">
        <v>41</v>
      </c>
      <c r="AF66" s="279" t="s">
        <v>41</v>
      </c>
      <c r="AG66" s="279" t="s">
        <v>41</v>
      </c>
      <c r="AH66" s="279" t="s">
        <v>41</v>
      </c>
      <c r="AI66" s="279" t="s">
        <v>41</v>
      </c>
      <c r="AJ66" s="279" t="s">
        <v>41</v>
      </c>
      <c r="AK66" s="280" t="s">
        <v>41</v>
      </c>
      <c r="AL66" s="279">
        <v>2</v>
      </c>
      <c r="AM66" s="279">
        <v>4</v>
      </c>
      <c r="AN66" s="280">
        <v>1</v>
      </c>
      <c r="AO66" s="281" t="s">
        <v>41</v>
      </c>
      <c r="AP66" s="280">
        <v>0</v>
      </c>
      <c r="AQ66" s="282">
        <f t="shared" si="61"/>
        <v>1.5</v>
      </c>
      <c r="AR66" s="283" t="str">
        <f t="shared" si="62"/>
        <v>Minors</v>
      </c>
      <c r="AS66" s="282">
        <f t="shared" si="63"/>
        <v>2.6666666666666665</v>
      </c>
      <c r="AT66" s="282" t="str">
        <f t="shared" si="64"/>
        <v>Minors</v>
      </c>
      <c r="AU66" s="283">
        <f t="shared" si="65"/>
        <v>2.6666666666666665</v>
      </c>
      <c r="AV66" s="283" t="str">
        <f t="shared" si="66"/>
        <v>Minors</v>
      </c>
      <c r="AW66" s="284">
        <f t="shared" si="67"/>
        <v>0</v>
      </c>
      <c r="AX66" s="285">
        <f t="shared" si="68"/>
        <v>0</v>
      </c>
      <c r="AY66" s="285">
        <f t="shared" si="69"/>
        <v>0</v>
      </c>
      <c r="AZ66" s="285">
        <f t="shared" si="70"/>
        <v>0</v>
      </c>
      <c r="BA66" s="285">
        <f t="shared" si="71"/>
        <v>0</v>
      </c>
      <c r="BB66" s="285">
        <f t="shared" si="72"/>
        <v>0</v>
      </c>
      <c r="BC66" s="285">
        <f t="shared" si="73"/>
        <v>0</v>
      </c>
      <c r="BD66" s="285">
        <f t="shared" si="74"/>
        <v>0</v>
      </c>
      <c r="BE66" s="280">
        <f t="shared" si="75"/>
        <v>0</v>
      </c>
      <c r="BF66" s="284">
        <f t="shared" si="76"/>
        <v>0</v>
      </c>
      <c r="BG66" s="285">
        <f t="shared" si="77"/>
        <v>0</v>
      </c>
      <c r="BH66" s="285">
        <f t="shared" si="78"/>
        <v>0</v>
      </c>
      <c r="BI66" s="285">
        <f t="shared" si="79"/>
        <v>0</v>
      </c>
      <c r="BJ66" s="285">
        <f t="shared" si="80"/>
        <v>0</v>
      </c>
      <c r="BK66" s="285">
        <f t="shared" si="81"/>
        <v>0</v>
      </c>
      <c r="BL66" s="285">
        <f t="shared" si="82"/>
        <v>0</v>
      </c>
      <c r="BM66" s="285">
        <f t="shared" si="83"/>
        <v>0</v>
      </c>
      <c r="BN66" s="280">
        <f t="shared" si="84"/>
        <v>0</v>
      </c>
      <c r="BO66" s="280">
        <f t="shared" si="85"/>
        <v>0</v>
      </c>
      <c r="BP66" s="286">
        <f t="shared" si="86"/>
        <v>0</v>
      </c>
      <c r="BQ66" s="279" t="str">
        <f t="shared" si="87"/>
        <v/>
      </c>
      <c r="BR66" s="278" t="str">
        <f t="shared" si="88"/>
        <v>Unlikely</v>
      </c>
      <c r="BS66" s="279" t="str">
        <f t="shared" si="89"/>
        <v>aack!</v>
      </c>
      <c r="BT66" s="279" t="str">
        <f t="shared" si="90"/>
        <v>aack!</v>
      </c>
      <c r="BU66" s="279" t="str">
        <f t="shared" si="91"/>
        <v>A</v>
      </c>
      <c r="BV66" s="279">
        <f t="shared" si="92"/>
        <v>-1</v>
      </c>
      <c r="BW66" s="279">
        <f t="shared" si="93"/>
        <v>0</v>
      </c>
      <c r="BX66" s="279">
        <f t="shared" si="94"/>
        <v>0</v>
      </c>
      <c r="BY66" s="279">
        <f t="shared" si="95"/>
        <v>-1</v>
      </c>
      <c r="BZ66" s="279">
        <f t="shared" si="96"/>
        <v>-1</v>
      </c>
      <c r="CA66" s="279">
        <f t="shared" si="97"/>
        <v>-3</v>
      </c>
      <c r="CB66" s="279">
        <f t="shared" si="98"/>
        <v>11</v>
      </c>
      <c r="CC66" s="279">
        <f t="shared" si="99"/>
        <v>6</v>
      </c>
      <c r="CD66" s="279">
        <f t="shared" si="100"/>
        <v>9</v>
      </c>
      <c r="CE66" s="279" t="str">
        <f t="shared" si="101"/>
        <v>With Dev</v>
      </c>
      <c r="CF66" s="294" t="str">
        <f t="shared" si="102"/>
        <v>X</v>
      </c>
      <c r="CG66" s="294" t="str">
        <f t="shared" si="103"/>
        <v/>
      </c>
      <c r="CH66" s="294" t="str">
        <f t="shared" si="104"/>
        <v/>
      </c>
      <c r="CI66" s="294" t="str">
        <f t="shared" si="105"/>
        <v/>
      </c>
      <c r="CJ66" s="294" t="str">
        <f t="shared" si="110"/>
        <v/>
      </c>
      <c r="CK66" s="294" t="str">
        <f t="shared" si="106"/>
        <v/>
      </c>
      <c r="CL66" s="294" t="str">
        <f t="shared" si="107"/>
        <v/>
      </c>
      <c r="CM66" s="294" t="str">
        <f t="shared" si="108"/>
        <v/>
      </c>
      <c r="CN66" s="294" t="str">
        <f t="shared" si="109"/>
        <v/>
      </c>
    </row>
    <row r="67" spans="1:92">
      <c r="A67" s="277" t="str">
        <f>IF(ISERROR(VLOOKUP(G67,CON!$C$3:$C$24,1,FALSE)),IF(ISERROR(VLOOKUP(G67,'PSP-AAA'!$C$6:$C$33,1,FALSE)),IF(ISERROR(VLOOKUP(G67,'NH-AA'!$C$6:$C$33,1,FALSE)),IF(ISERROR(VLOOKUP(G67,'CRG-A'!$C$6:$C$33,1,FALSE)),IF(ISERROR(VLOOKUP(G67,'PC-S A'!$C$6:$C$33,1,FALSE)),"","S A"),"A"),"AA"),"AAA"),"ML")</f>
        <v/>
      </c>
      <c r="B67" s="278"/>
      <c r="C67" s="279" t="str">
        <f t="shared" si="58"/>
        <v>-</v>
      </c>
      <c r="D67" s="279" t="str">
        <f t="shared" si="59"/>
        <v>-</v>
      </c>
      <c r="E67" s="279" t="str">
        <f t="shared" si="60"/>
        <v>T</v>
      </c>
      <c r="F67" s="279" t="s">
        <v>96</v>
      </c>
      <c r="G67" s="279" t="s">
        <v>419</v>
      </c>
      <c r="H67" s="279" t="s">
        <v>373</v>
      </c>
      <c r="I67" s="279" t="s">
        <v>210</v>
      </c>
      <c r="J67" s="279">
        <v>23</v>
      </c>
      <c r="K67" s="279" t="s">
        <v>104</v>
      </c>
      <c r="L67" s="279" t="s">
        <v>104</v>
      </c>
      <c r="M67" s="279" t="s">
        <v>47</v>
      </c>
      <c r="N67" s="280" t="s">
        <v>47</v>
      </c>
      <c r="O67" s="279" t="s">
        <v>227</v>
      </c>
      <c r="P67" s="280" t="s">
        <v>226</v>
      </c>
      <c r="Q67" s="279">
        <v>3</v>
      </c>
      <c r="R67" s="279">
        <v>5</v>
      </c>
      <c r="S67" s="279">
        <v>2</v>
      </c>
      <c r="T67" s="279">
        <v>3</v>
      </c>
      <c r="U67" s="280">
        <v>2</v>
      </c>
      <c r="V67" s="279">
        <v>4</v>
      </c>
      <c r="W67" s="279">
        <v>6</v>
      </c>
      <c r="X67" s="279">
        <v>2</v>
      </c>
      <c r="Y67" s="279">
        <v>4</v>
      </c>
      <c r="Z67" s="280">
        <v>3</v>
      </c>
      <c r="AA67" s="279">
        <v>7</v>
      </c>
      <c r="AB67" s="279">
        <v>6</v>
      </c>
      <c r="AC67" s="279">
        <v>1</v>
      </c>
      <c r="AD67" s="279" t="s">
        <v>41</v>
      </c>
      <c r="AE67" s="279">
        <v>8</v>
      </c>
      <c r="AF67" s="279">
        <v>8</v>
      </c>
      <c r="AG67" s="279">
        <v>7</v>
      </c>
      <c r="AH67" s="279">
        <v>9</v>
      </c>
      <c r="AI67" s="279" t="s">
        <v>41</v>
      </c>
      <c r="AJ67" s="279" t="s">
        <v>41</v>
      </c>
      <c r="AK67" s="280">
        <v>7</v>
      </c>
      <c r="AL67" s="279">
        <v>6</v>
      </c>
      <c r="AM67" s="279">
        <v>8</v>
      </c>
      <c r="AN67" s="280">
        <v>7</v>
      </c>
      <c r="AO67" s="281" t="s">
        <v>41</v>
      </c>
      <c r="AP67" s="280">
        <v>0</v>
      </c>
      <c r="AQ67" s="282">
        <f t="shared" si="61"/>
        <v>1.1666666666666665</v>
      </c>
      <c r="AR67" s="283" t="str">
        <f t="shared" si="62"/>
        <v>Minors</v>
      </c>
      <c r="AS67" s="282">
        <f t="shared" si="63"/>
        <v>2.3333333333333335</v>
      </c>
      <c r="AT67" s="282" t="str">
        <f t="shared" si="64"/>
        <v>Minors</v>
      </c>
      <c r="AU67" s="283">
        <f t="shared" si="65"/>
        <v>2.3333333333333335</v>
      </c>
      <c r="AV67" s="283" t="str">
        <f t="shared" si="66"/>
        <v>Minors</v>
      </c>
      <c r="AW67" s="284">
        <f t="shared" si="67"/>
        <v>0</v>
      </c>
      <c r="AX67" s="285">
        <f t="shared" si="68"/>
        <v>0</v>
      </c>
      <c r="AY67" s="285">
        <f t="shared" si="69"/>
        <v>0</v>
      </c>
      <c r="AZ67" s="285">
        <f t="shared" si="70"/>
        <v>0</v>
      </c>
      <c r="BA67" s="285">
        <f t="shared" si="71"/>
        <v>0</v>
      </c>
      <c r="BB67" s="285">
        <f t="shared" si="72"/>
        <v>0</v>
      </c>
      <c r="BC67" s="285">
        <f t="shared" si="73"/>
        <v>0</v>
      </c>
      <c r="BD67" s="285">
        <f t="shared" si="74"/>
        <v>0</v>
      </c>
      <c r="BE67" s="280">
        <f t="shared" si="75"/>
        <v>0</v>
      </c>
      <c r="BF67" s="284">
        <f t="shared" si="76"/>
        <v>0</v>
      </c>
      <c r="BG67" s="285">
        <f t="shared" si="77"/>
        <v>0</v>
      </c>
      <c r="BH67" s="285">
        <f t="shared" si="78"/>
        <v>0</v>
      </c>
      <c r="BI67" s="285">
        <f t="shared" si="79"/>
        <v>0</v>
      </c>
      <c r="BJ67" s="285">
        <f t="shared" si="80"/>
        <v>0</v>
      </c>
      <c r="BK67" s="285">
        <f t="shared" si="81"/>
        <v>0</v>
      </c>
      <c r="BL67" s="285">
        <f t="shared" si="82"/>
        <v>0</v>
      </c>
      <c r="BM67" s="285">
        <f t="shared" si="83"/>
        <v>0</v>
      </c>
      <c r="BN67" s="280">
        <f t="shared" si="84"/>
        <v>0</v>
      </c>
      <c r="BO67" s="280">
        <f t="shared" si="85"/>
        <v>2</v>
      </c>
      <c r="BP67" s="286">
        <f t="shared" si="86"/>
        <v>2</v>
      </c>
      <c r="BQ67" s="279" t="str">
        <f t="shared" si="87"/>
        <v/>
      </c>
      <c r="BR67" s="278" t="str">
        <f t="shared" si="88"/>
        <v>Unlikely</v>
      </c>
      <c r="BS67" s="279" t="str">
        <f t="shared" si="89"/>
        <v>aack!</v>
      </c>
      <c r="BT67" s="279" t="str">
        <f t="shared" si="90"/>
        <v>aack!</v>
      </c>
      <c r="BU67" s="279" t="str">
        <f t="shared" si="91"/>
        <v>A</v>
      </c>
      <c r="BV67" s="279">
        <f t="shared" si="92"/>
        <v>-1</v>
      </c>
      <c r="BW67" s="279">
        <f t="shared" si="93"/>
        <v>-1</v>
      </c>
      <c r="BX67" s="279">
        <f t="shared" si="94"/>
        <v>0</v>
      </c>
      <c r="BY67" s="279">
        <f t="shared" si="95"/>
        <v>-1</v>
      </c>
      <c r="BZ67" s="279">
        <f t="shared" si="96"/>
        <v>-1</v>
      </c>
      <c r="CA67" s="279">
        <f t="shared" si="97"/>
        <v>-4</v>
      </c>
      <c r="CB67" s="279">
        <f t="shared" si="98"/>
        <v>10</v>
      </c>
      <c r="CC67" s="279">
        <f t="shared" si="99"/>
        <v>6</v>
      </c>
      <c r="CD67" s="279">
        <f t="shared" si="100"/>
        <v>8</v>
      </c>
      <c r="CE67" s="279" t="str">
        <f t="shared" si="101"/>
        <v>With Dev</v>
      </c>
      <c r="CF67" s="294" t="str">
        <f t="shared" si="102"/>
        <v/>
      </c>
      <c r="CG67" s="294" t="str">
        <f t="shared" si="103"/>
        <v>X</v>
      </c>
      <c r="CH67" s="294" t="str">
        <f t="shared" si="104"/>
        <v>X</v>
      </c>
      <c r="CI67" s="294" t="str">
        <f t="shared" si="105"/>
        <v>X</v>
      </c>
      <c r="CJ67" s="294" t="str">
        <f t="shared" si="110"/>
        <v>X</v>
      </c>
      <c r="CK67" s="294" t="str">
        <f t="shared" si="106"/>
        <v/>
      </c>
      <c r="CL67" s="294" t="str">
        <f t="shared" si="107"/>
        <v/>
      </c>
      <c r="CM67" s="294" t="str">
        <f t="shared" si="108"/>
        <v/>
      </c>
      <c r="CN67" s="294" t="str">
        <f t="shared" si="109"/>
        <v/>
      </c>
    </row>
    <row r="68" spans="1:92">
      <c r="A68" s="277" t="str">
        <f>IF(ISERROR(VLOOKUP(G68,CON!$C$3:$C$24,1,FALSE)),IF(ISERROR(VLOOKUP(G68,'PSP-AAA'!$C$6:$C$33,1,FALSE)),IF(ISERROR(VLOOKUP(G68,'NH-AA'!$C$6:$C$33,1,FALSE)),IF(ISERROR(VLOOKUP(G68,'CRG-A'!$C$6:$C$33,1,FALSE)),IF(ISERROR(VLOOKUP(G68,'PC-S A'!$C$6:$C$33,1,FALSE)),"","S A"),"A"),"AA"),"AAA"),"ML")</f>
        <v/>
      </c>
      <c r="B68" s="278"/>
      <c r="C68" s="279" t="str">
        <f t="shared" si="58"/>
        <v>-</v>
      </c>
      <c r="D68" s="279" t="str">
        <f t="shared" si="59"/>
        <v>-</v>
      </c>
      <c r="E68" s="279" t="str">
        <f t="shared" si="60"/>
        <v>T</v>
      </c>
      <c r="F68" s="279" t="s">
        <v>99</v>
      </c>
      <c r="G68" s="279" t="s">
        <v>495</v>
      </c>
      <c r="H68" s="279" t="s">
        <v>370</v>
      </c>
      <c r="I68" s="279" t="s">
        <v>316</v>
      </c>
      <c r="J68" s="279">
        <v>19</v>
      </c>
      <c r="K68" s="279" t="s">
        <v>104</v>
      </c>
      <c r="L68" s="279" t="s">
        <v>104</v>
      </c>
      <c r="M68" s="279" t="s">
        <v>47</v>
      </c>
      <c r="N68" s="280" t="s">
        <v>47</v>
      </c>
      <c r="O68" s="279" t="s">
        <v>225</v>
      </c>
      <c r="P68" s="280" t="s">
        <v>225</v>
      </c>
      <c r="Q68" s="279">
        <v>3</v>
      </c>
      <c r="R68" s="279">
        <v>6</v>
      </c>
      <c r="S68" s="279">
        <v>1</v>
      </c>
      <c r="T68" s="279">
        <v>2</v>
      </c>
      <c r="U68" s="280">
        <v>1</v>
      </c>
      <c r="V68" s="279">
        <v>4</v>
      </c>
      <c r="W68" s="279">
        <v>8</v>
      </c>
      <c r="X68" s="279">
        <v>2</v>
      </c>
      <c r="Y68" s="279">
        <v>4</v>
      </c>
      <c r="Z68" s="280">
        <v>3</v>
      </c>
      <c r="AA68" s="279">
        <v>1</v>
      </c>
      <c r="AB68" s="279">
        <v>7</v>
      </c>
      <c r="AC68" s="279">
        <v>1</v>
      </c>
      <c r="AD68" s="279" t="s">
        <v>41</v>
      </c>
      <c r="AE68" s="279" t="s">
        <v>41</v>
      </c>
      <c r="AF68" s="279" t="s">
        <v>41</v>
      </c>
      <c r="AG68" s="279" t="s">
        <v>41</v>
      </c>
      <c r="AH68" s="279" t="s">
        <v>41</v>
      </c>
      <c r="AI68" s="279">
        <v>1</v>
      </c>
      <c r="AJ68" s="279">
        <v>3</v>
      </c>
      <c r="AK68" s="280">
        <v>1</v>
      </c>
      <c r="AL68" s="279">
        <v>8</v>
      </c>
      <c r="AM68" s="279">
        <v>10</v>
      </c>
      <c r="AN68" s="280">
        <v>10</v>
      </c>
      <c r="AO68" s="281" t="s">
        <v>41</v>
      </c>
      <c r="AP68" s="280" t="s">
        <v>45</v>
      </c>
      <c r="AQ68" s="282">
        <f t="shared" si="61"/>
        <v>0.5</v>
      </c>
      <c r="AR68" s="283" t="str">
        <f t="shared" si="62"/>
        <v>Minors</v>
      </c>
      <c r="AS68" s="282">
        <f t="shared" si="63"/>
        <v>2.3333333333333335</v>
      </c>
      <c r="AT68" s="282" t="str">
        <f t="shared" si="64"/>
        <v>Minors</v>
      </c>
      <c r="AU68" s="283">
        <f t="shared" si="65"/>
        <v>2.3333333333333335</v>
      </c>
      <c r="AV68" s="283" t="str">
        <f t="shared" si="66"/>
        <v>Minors</v>
      </c>
      <c r="AW68" s="284">
        <f t="shared" si="67"/>
        <v>0</v>
      </c>
      <c r="AX68" s="285">
        <f t="shared" si="68"/>
        <v>0</v>
      </c>
      <c r="AY68" s="285">
        <f t="shared" si="69"/>
        <v>0</v>
      </c>
      <c r="AZ68" s="285">
        <f t="shared" si="70"/>
        <v>0</v>
      </c>
      <c r="BA68" s="285">
        <f t="shared" si="71"/>
        <v>0</v>
      </c>
      <c r="BB68" s="285">
        <f t="shared" si="72"/>
        <v>0</v>
      </c>
      <c r="BC68" s="285">
        <f t="shared" si="73"/>
        <v>0</v>
      </c>
      <c r="BD68" s="285">
        <f t="shared" si="74"/>
        <v>0</v>
      </c>
      <c r="BE68" s="280">
        <f t="shared" si="75"/>
        <v>0</v>
      </c>
      <c r="BF68" s="284">
        <f t="shared" si="76"/>
        <v>0</v>
      </c>
      <c r="BG68" s="285">
        <f t="shared" si="77"/>
        <v>0</v>
      </c>
      <c r="BH68" s="285">
        <f t="shared" si="78"/>
        <v>0</v>
      </c>
      <c r="BI68" s="285">
        <f t="shared" si="79"/>
        <v>0</v>
      </c>
      <c r="BJ68" s="285">
        <f t="shared" si="80"/>
        <v>0</v>
      </c>
      <c r="BK68" s="285">
        <f t="shared" si="81"/>
        <v>0</v>
      </c>
      <c r="BL68" s="285">
        <f t="shared" si="82"/>
        <v>0</v>
      </c>
      <c r="BM68" s="285">
        <f t="shared" si="83"/>
        <v>0</v>
      </c>
      <c r="BN68" s="280">
        <f t="shared" si="84"/>
        <v>0</v>
      </c>
      <c r="BO68" s="280">
        <f t="shared" si="85"/>
        <v>5</v>
      </c>
      <c r="BP68" s="286">
        <f t="shared" si="86"/>
        <v>0</v>
      </c>
      <c r="BQ68" s="279" t="str">
        <f t="shared" si="87"/>
        <v/>
      </c>
      <c r="BR68" s="278" t="str">
        <f t="shared" si="88"/>
        <v>Unlikely</v>
      </c>
      <c r="BS68" s="279" t="str">
        <f t="shared" si="89"/>
        <v>aack!</v>
      </c>
      <c r="BT68" s="279" t="str">
        <f t="shared" si="90"/>
        <v>aack!</v>
      </c>
      <c r="BU68" s="279" t="str">
        <f t="shared" si="91"/>
        <v>A</v>
      </c>
      <c r="BV68" s="279">
        <f t="shared" si="92"/>
        <v>-1</v>
      </c>
      <c r="BW68" s="279">
        <f t="shared" si="93"/>
        <v>-2</v>
      </c>
      <c r="BX68" s="279">
        <f t="shared" si="94"/>
        <v>-1</v>
      </c>
      <c r="BY68" s="279">
        <f t="shared" si="95"/>
        <v>-2</v>
      </c>
      <c r="BZ68" s="279">
        <f t="shared" si="96"/>
        <v>-2</v>
      </c>
      <c r="CA68" s="279">
        <f t="shared" si="97"/>
        <v>-8</v>
      </c>
      <c r="CB68" s="279">
        <f t="shared" si="98"/>
        <v>10</v>
      </c>
      <c r="CC68" s="279">
        <f t="shared" si="99"/>
        <v>6</v>
      </c>
      <c r="CD68" s="279">
        <f t="shared" si="100"/>
        <v>8</v>
      </c>
      <c r="CE68" s="279" t="str">
        <f t="shared" si="101"/>
        <v>With Dev</v>
      </c>
      <c r="CF68" s="294" t="str">
        <f t="shared" si="102"/>
        <v/>
      </c>
      <c r="CG68" s="294" t="str">
        <f t="shared" si="103"/>
        <v/>
      </c>
      <c r="CH68" s="294" t="str">
        <f t="shared" si="104"/>
        <v/>
      </c>
      <c r="CI68" s="294" t="str">
        <f t="shared" si="105"/>
        <v/>
      </c>
      <c r="CJ68" s="294" t="str">
        <f t="shared" si="110"/>
        <v/>
      </c>
      <c r="CK68" s="294" t="str">
        <f t="shared" si="106"/>
        <v/>
      </c>
      <c r="CL68" s="294" t="str">
        <f t="shared" si="107"/>
        <v/>
      </c>
      <c r="CM68" s="294" t="str">
        <f t="shared" si="108"/>
        <v/>
      </c>
      <c r="CN68" s="294" t="str">
        <f t="shared" si="109"/>
        <v>X</v>
      </c>
    </row>
    <row r="69" spans="1:92">
      <c r="A69" s="277" t="str">
        <f>IF(ISERROR(VLOOKUP(G69,CON!$C$3:$C$24,1,FALSE)),IF(ISERROR(VLOOKUP(G69,'PSP-AAA'!$C$6:$C$33,1,FALSE)),IF(ISERROR(VLOOKUP(G69,'NH-AA'!$C$6:$C$33,1,FALSE)),IF(ISERROR(VLOOKUP(G69,'CRG-A'!$C$6:$C$33,1,FALSE)),IF(ISERROR(VLOOKUP(G69,'PC-S A'!$C$6:$C$33,1,FALSE)),"","S A"),"A"),"AA"),"AAA"),"ML")</f>
        <v/>
      </c>
      <c r="B69" s="278"/>
      <c r="C69" s="279" t="str">
        <f t="shared" si="58"/>
        <v>-</v>
      </c>
      <c r="D69" s="279" t="str">
        <f t="shared" si="59"/>
        <v>-</v>
      </c>
      <c r="E69" s="279" t="str">
        <f t="shared" si="60"/>
        <v>T</v>
      </c>
      <c r="F69" s="279" t="s">
        <v>95</v>
      </c>
      <c r="G69" s="279" t="s">
        <v>418</v>
      </c>
      <c r="H69" s="279" t="s">
        <v>371</v>
      </c>
      <c r="I69" s="279" t="s">
        <v>208</v>
      </c>
      <c r="J69" s="279">
        <v>24</v>
      </c>
      <c r="K69" s="279" t="s">
        <v>104</v>
      </c>
      <c r="L69" s="279" t="s">
        <v>104</v>
      </c>
      <c r="M69" s="279" t="s">
        <v>47</v>
      </c>
      <c r="N69" s="280" t="s">
        <v>47</v>
      </c>
      <c r="O69" s="279" t="s">
        <v>225</v>
      </c>
      <c r="P69" s="280" t="s">
        <v>226</v>
      </c>
      <c r="Q69" s="279">
        <v>3</v>
      </c>
      <c r="R69" s="279">
        <v>4</v>
      </c>
      <c r="S69" s="279">
        <v>1</v>
      </c>
      <c r="T69" s="279">
        <v>2</v>
      </c>
      <c r="U69" s="280">
        <v>2</v>
      </c>
      <c r="V69" s="279">
        <v>4</v>
      </c>
      <c r="W69" s="279">
        <v>5</v>
      </c>
      <c r="X69" s="279">
        <v>2</v>
      </c>
      <c r="Y69" s="279">
        <v>3</v>
      </c>
      <c r="Z69" s="280">
        <v>3</v>
      </c>
      <c r="AA69" s="279">
        <v>3</v>
      </c>
      <c r="AB69" s="279">
        <v>3</v>
      </c>
      <c r="AC69" s="279">
        <v>1</v>
      </c>
      <c r="AD69" s="279" t="s">
        <v>41</v>
      </c>
      <c r="AE69" s="279">
        <v>10</v>
      </c>
      <c r="AF69" s="279">
        <v>10</v>
      </c>
      <c r="AG69" s="279" t="s">
        <v>41</v>
      </c>
      <c r="AH69" s="279" t="s">
        <v>41</v>
      </c>
      <c r="AI69" s="279">
        <v>1</v>
      </c>
      <c r="AJ69" s="279" t="s">
        <v>41</v>
      </c>
      <c r="AK69" s="280" t="s">
        <v>41</v>
      </c>
      <c r="AL69" s="279">
        <v>6</v>
      </c>
      <c r="AM69" s="279">
        <v>7</v>
      </c>
      <c r="AN69" s="280">
        <v>6</v>
      </c>
      <c r="AO69" s="281" t="s">
        <v>41</v>
      </c>
      <c r="AP69" s="280">
        <v>0</v>
      </c>
      <c r="AQ69" s="282">
        <f t="shared" si="61"/>
        <v>0.5</v>
      </c>
      <c r="AR69" s="283" t="str">
        <f t="shared" si="62"/>
        <v>Minors</v>
      </c>
      <c r="AS69" s="282">
        <f t="shared" si="63"/>
        <v>2</v>
      </c>
      <c r="AT69" s="282" t="str">
        <f t="shared" si="64"/>
        <v>Minors</v>
      </c>
      <c r="AU69" s="283">
        <f t="shared" si="65"/>
        <v>1.5</v>
      </c>
      <c r="AV69" s="283" t="str">
        <f t="shared" si="66"/>
        <v>Minors</v>
      </c>
      <c r="AW69" s="284">
        <f t="shared" si="67"/>
        <v>0</v>
      </c>
      <c r="AX69" s="285">
        <f t="shared" si="68"/>
        <v>0</v>
      </c>
      <c r="AY69" s="285">
        <f t="shared" si="69"/>
        <v>0</v>
      </c>
      <c r="AZ69" s="285">
        <f t="shared" si="70"/>
        <v>0</v>
      </c>
      <c r="BA69" s="285">
        <f t="shared" si="71"/>
        <v>0</v>
      </c>
      <c r="BB69" s="285">
        <f t="shared" si="72"/>
        <v>0</v>
      </c>
      <c r="BC69" s="285">
        <f t="shared" si="73"/>
        <v>0</v>
      </c>
      <c r="BD69" s="285">
        <f t="shared" si="74"/>
        <v>0</v>
      </c>
      <c r="BE69" s="280">
        <f t="shared" si="75"/>
        <v>0</v>
      </c>
      <c r="BF69" s="284">
        <f t="shared" si="76"/>
        <v>0</v>
      </c>
      <c r="BG69" s="285">
        <f t="shared" si="77"/>
        <v>0</v>
      </c>
      <c r="BH69" s="285">
        <f t="shared" si="78"/>
        <v>0</v>
      </c>
      <c r="BI69" s="285">
        <f t="shared" si="79"/>
        <v>0</v>
      </c>
      <c r="BJ69" s="285">
        <f t="shared" si="80"/>
        <v>0</v>
      </c>
      <c r="BK69" s="285">
        <f t="shared" si="81"/>
        <v>0</v>
      </c>
      <c r="BL69" s="285">
        <f t="shared" si="82"/>
        <v>0</v>
      </c>
      <c r="BM69" s="285">
        <f t="shared" si="83"/>
        <v>0</v>
      </c>
      <c r="BN69" s="280">
        <f t="shared" si="84"/>
        <v>0</v>
      </c>
      <c r="BO69" s="280">
        <f t="shared" si="85"/>
        <v>0</v>
      </c>
      <c r="BP69" s="286">
        <f t="shared" si="86"/>
        <v>2</v>
      </c>
      <c r="BQ69" s="279" t="str">
        <f t="shared" si="87"/>
        <v/>
      </c>
      <c r="BR69" s="278" t="str">
        <f t="shared" si="88"/>
        <v>Unlikely</v>
      </c>
      <c r="BS69" s="279" t="str">
        <f t="shared" si="89"/>
        <v>aack!</v>
      </c>
      <c r="BT69" s="279" t="str">
        <f t="shared" si="90"/>
        <v>aack!</v>
      </c>
      <c r="BU69" s="279" t="str">
        <f t="shared" si="91"/>
        <v>A</v>
      </c>
      <c r="BV69" s="279">
        <f t="shared" si="92"/>
        <v>-1</v>
      </c>
      <c r="BW69" s="279">
        <f t="shared" si="93"/>
        <v>-1</v>
      </c>
      <c r="BX69" s="279">
        <f t="shared" si="94"/>
        <v>-1</v>
      </c>
      <c r="BY69" s="279">
        <f t="shared" si="95"/>
        <v>-1</v>
      </c>
      <c r="BZ69" s="279">
        <f t="shared" si="96"/>
        <v>-1</v>
      </c>
      <c r="CA69" s="279">
        <f t="shared" si="97"/>
        <v>-5</v>
      </c>
      <c r="CB69" s="279">
        <f t="shared" si="98"/>
        <v>9</v>
      </c>
      <c r="CC69" s="279">
        <f t="shared" si="99"/>
        <v>6</v>
      </c>
      <c r="CD69" s="279">
        <f t="shared" si="100"/>
        <v>7</v>
      </c>
      <c r="CE69" s="279" t="str">
        <f t="shared" si="101"/>
        <v>With Dev</v>
      </c>
      <c r="CF69" s="294" t="str">
        <f t="shared" si="102"/>
        <v/>
      </c>
      <c r="CG69" s="294" t="str">
        <f t="shared" si="103"/>
        <v>X</v>
      </c>
      <c r="CH69" s="294" t="str">
        <f t="shared" si="104"/>
        <v>X</v>
      </c>
      <c r="CI69" s="294" t="str">
        <f t="shared" si="105"/>
        <v/>
      </c>
      <c r="CJ69" s="294" t="str">
        <f t="shared" si="110"/>
        <v/>
      </c>
      <c r="CK69" s="294" t="str">
        <f t="shared" si="106"/>
        <v/>
      </c>
      <c r="CL69" s="294" t="str">
        <f t="shared" si="107"/>
        <v/>
      </c>
      <c r="CM69" s="294" t="str">
        <f t="shared" si="108"/>
        <v/>
      </c>
      <c r="CN69" s="294" t="str">
        <f t="shared" si="109"/>
        <v/>
      </c>
    </row>
    <row r="70" spans="1:92">
      <c r="A70" s="277" t="str">
        <f>IF(ISERROR(VLOOKUP(G70,CON!$C$3:$C$24,1,FALSE)),IF(ISERROR(VLOOKUP(G70,'PSP-AAA'!$C$6:$C$33,1,FALSE)),IF(ISERROR(VLOOKUP(G70,'NH-AA'!$C$6:$C$33,1,FALSE)),IF(ISERROR(VLOOKUP(G70,'CRG-A'!$C$6:$C$33,1,FALSE)),IF(ISERROR(VLOOKUP(G70,'PC-S A'!$C$6:$C$33,1,FALSE)),"","S A"),"A"),"AA"),"AAA"),"ML")</f>
        <v/>
      </c>
      <c r="B70" s="278"/>
      <c r="C70" s="279" t="str">
        <f t="shared" si="58"/>
        <v>-</v>
      </c>
      <c r="D70" s="279" t="str">
        <f t="shared" si="59"/>
        <v>-</v>
      </c>
      <c r="E70" s="279" t="str">
        <f t="shared" si="60"/>
        <v>T</v>
      </c>
      <c r="F70" s="279" t="s">
        <v>99</v>
      </c>
      <c r="G70" s="279" t="s">
        <v>420</v>
      </c>
      <c r="H70" s="279" t="s">
        <v>373</v>
      </c>
      <c r="I70" s="279" t="s">
        <v>210</v>
      </c>
      <c r="J70" s="279">
        <v>23</v>
      </c>
      <c r="K70" s="279" t="s">
        <v>104</v>
      </c>
      <c r="L70" s="279" t="s">
        <v>104</v>
      </c>
      <c r="M70" s="279" t="s">
        <v>47</v>
      </c>
      <c r="N70" s="280" t="s">
        <v>47</v>
      </c>
      <c r="O70" s="279" t="s">
        <v>226</v>
      </c>
      <c r="P70" s="280" t="s">
        <v>224</v>
      </c>
      <c r="Q70" s="279">
        <v>3</v>
      </c>
      <c r="R70" s="279">
        <v>4</v>
      </c>
      <c r="S70" s="279">
        <v>1</v>
      </c>
      <c r="T70" s="279">
        <v>2</v>
      </c>
      <c r="U70" s="280">
        <v>4</v>
      </c>
      <c r="V70" s="279">
        <v>3</v>
      </c>
      <c r="W70" s="279">
        <v>4</v>
      </c>
      <c r="X70" s="279">
        <v>1</v>
      </c>
      <c r="Y70" s="279">
        <v>3</v>
      </c>
      <c r="Z70" s="280">
        <v>4</v>
      </c>
      <c r="AA70" s="279">
        <v>1</v>
      </c>
      <c r="AB70" s="279">
        <v>6</v>
      </c>
      <c r="AC70" s="279">
        <v>1</v>
      </c>
      <c r="AD70" s="279" t="s">
        <v>41</v>
      </c>
      <c r="AE70" s="279">
        <v>1</v>
      </c>
      <c r="AF70" s="279" t="s">
        <v>41</v>
      </c>
      <c r="AG70" s="279" t="s">
        <v>41</v>
      </c>
      <c r="AH70" s="279" t="s">
        <v>41</v>
      </c>
      <c r="AI70" s="279">
        <v>10</v>
      </c>
      <c r="AJ70" s="279">
        <v>10</v>
      </c>
      <c r="AK70" s="280">
        <v>9</v>
      </c>
      <c r="AL70" s="279">
        <v>6</v>
      </c>
      <c r="AM70" s="279">
        <v>7</v>
      </c>
      <c r="AN70" s="280">
        <v>8</v>
      </c>
      <c r="AO70" s="281" t="s">
        <v>41</v>
      </c>
      <c r="AP70" s="280">
        <v>0</v>
      </c>
      <c r="AQ70" s="282">
        <f t="shared" si="61"/>
        <v>0.5</v>
      </c>
      <c r="AR70" s="283" t="str">
        <f t="shared" si="62"/>
        <v>Minors</v>
      </c>
      <c r="AS70" s="282">
        <f t="shared" si="63"/>
        <v>0.83333333333333348</v>
      </c>
      <c r="AT70" s="282" t="str">
        <f t="shared" si="64"/>
        <v>Minors</v>
      </c>
      <c r="AU70" s="283">
        <f t="shared" si="65"/>
        <v>0.83333333333333348</v>
      </c>
      <c r="AV70" s="283" t="str">
        <f t="shared" si="66"/>
        <v>Minors</v>
      </c>
      <c r="AW70" s="284">
        <f t="shared" si="67"/>
        <v>0</v>
      </c>
      <c r="AX70" s="285">
        <f t="shared" si="68"/>
        <v>0</v>
      </c>
      <c r="AY70" s="285">
        <f t="shared" si="69"/>
        <v>0</v>
      </c>
      <c r="AZ70" s="285">
        <f t="shared" si="70"/>
        <v>0</v>
      </c>
      <c r="BA70" s="285">
        <f t="shared" si="71"/>
        <v>0</v>
      </c>
      <c r="BB70" s="285">
        <f t="shared" si="72"/>
        <v>0</v>
      </c>
      <c r="BC70" s="285">
        <f t="shared" si="73"/>
        <v>0</v>
      </c>
      <c r="BD70" s="285">
        <f t="shared" si="74"/>
        <v>0</v>
      </c>
      <c r="BE70" s="280">
        <f t="shared" si="75"/>
        <v>0</v>
      </c>
      <c r="BF70" s="284">
        <f t="shared" si="76"/>
        <v>0</v>
      </c>
      <c r="BG70" s="285">
        <f t="shared" si="77"/>
        <v>0</v>
      </c>
      <c r="BH70" s="285">
        <f t="shared" si="78"/>
        <v>0</v>
      </c>
      <c r="BI70" s="285">
        <f t="shared" si="79"/>
        <v>0</v>
      </c>
      <c r="BJ70" s="285">
        <f t="shared" si="80"/>
        <v>0</v>
      </c>
      <c r="BK70" s="285">
        <f t="shared" si="81"/>
        <v>0</v>
      </c>
      <c r="BL70" s="285">
        <f t="shared" si="82"/>
        <v>0</v>
      </c>
      <c r="BM70" s="285">
        <f t="shared" si="83"/>
        <v>0</v>
      </c>
      <c r="BN70" s="280">
        <f t="shared" si="84"/>
        <v>0</v>
      </c>
      <c r="BO70" s="280">
        <f t="shared" si="85"/>
        <v>1</v>
      </c>
      <c r="BP70" s="286">
        <f t="shared" si="86"/>
        <v>2</v>
      </c>
      <c r="BQ70" s="279" t="str">
        <f t="shared" si="87"/>
        <v/>
      </c>
      <c r="BR70" s="278" t="str">
        <f t="shared" si="88"/>
        <v>Unlikely</v>
      </c>
      <c r="BS70" s="279" t="str">
        <f t="shared" si="89"/>
        <v>aack!</v>
      </c>
      <c r="BT70" s="279" t="str">
        <f t="shared" si="90"/>
        <v>aack!</v>
      </c>
      <c r="BU70" s="279" t="str">
        <f t="shared" si="91"/>
        <v>A</v>
      </c>
      <c r="BV70" s="279">
        <f t="shared" si="92"/>
        <v>0</v>
      </c>
      <c r="BW70" s="279">
        <f t="shared" si="93"/>
        <v>0</v>
      </c>
      <c r="BX70" s="279">
        <f t="shared" si="94"/>
        <v>0</v>
      </c>
      <c r="BY70" s="279">
        <f t="shared" si="95"/>
        <v>-1</v>
      </c>
      <c r="BZ70" s="279">
        <f t="shared" si="96"/>
        <v>0</v>
      </c>
      <c r="CA70" s="279">
        <f t="shared" si="97"/>
        <v>-1</v>
      </c>
      <c r="CB70" s="279">
        <f t="shared" si="98"/>
        <v>7</v>
      </c>
      <c r="CC70" s="279">
        <f t="shared" si="99"/>
        <v>4</v>
      </c>
      <c r="CD70" s="279">
        <f t="shared" si="100"/>
        <v>6</v>
      </c>
      <c r="CE70" s="279" t="str">
        <f t="shared" si="101"/>
        <v>With Dev</v>
      </c>
      <c r="CF70" s="294" t="str">
        <f t="shared" si="102"/>
        <v/>
      </c>
      <c r="CG70" s="294" t="str">
        <f t="shared" si="103"/>
        <v/>
      </c>
      <c r="CH70" s="294" t="str">
        <f t="shared" si="104"/>
        <v/>
      </c>
      <c r="CI70" s="294" t="str">
        <f t="shared" si="105"/>
        <v/>
      </c>
      <c r="CJ70" s="294" t="str">
        <f t="shared" si="110"/>
        <v/>
      </c>
      <c r="CK70" s="294" t="str">
        <f t="shared" si="106"/>
        <v>X</v>
      </c>
      <c r="CL70" s="294" t="str">
        <f t="shared" si="107"/>
        <v>X</v>
      </c>
      <c r="CM70" s="294" t="str">
        <f t="shared" si="108"/>
        <v/>
      </c>
      <c r="CN70" s="294" t="str">
        <f t="shared" si="109"/>
        <v/>
      </c>
    </row>
    <row r="71" spans="1:92">
      <c r="A71" s="277" t="str">
        <f>IF(ISERROR(VLOOKUP(G71,CON!$C$3:$C$24,1,FALSE)),IF(ISERROR(VLOOKUP(G71,'PSP-AAA'!$C$6:$C$33,1,FALSE)),IF(ISERROR(VLOOKUP(G71,'NH-AA'!$C$6:$C$33,1,FALSE)),IF(ISERROR(VLOOKUP(G71,'CRG-A'!$C$6:$C$33,1,FALSE)),IF(ISERROR(VLOOKUP(G71,'PC-S A'!$C$6:$C$33,1,FALSE)),"","S A"),"A"),"AA"),"AAA"),"ML")</f>
        <v/>
      </c>
      <c r="B71" s="278"/>
      <c r="C71" s="279" t="str">
        <f t="shared" si="58"/>
        <v>-</v>
      </c>
      <c r="D71" s="279" t="str">
        <f t="shared" si="59"/>
        <v>-</v>
      </c>
      <c r="E71" s="279" t="str">
        <f t="shared" si="60"/>
        <v>T</v>
      </c>
      <c r="F71" s="279" t="s">
        <v>94</v>
      </c>
      <c r="G71" s="279" t="s">
        <v>496</v>
      </c>
      <c r="H71" s="279" t="s">
        <v>370</v>
      </c>
      <c r="I71" s="279" t="s">
        <v>316</v>
      </c>
      <c r="J71" s="279">
        <v>18</v>
      </c>
      <c r="K71" s="279" t="s">
        <v>104</v>
      </c>
      <c r="L71" s="279" t="s">
        <v>103</v>
      </c>
      <c r="M71" s="279" t="s">
        <v>47</v>
      </c>
      <c r="N71" s="280" t="s">
        <v>47</v>
      </c>
      <c r="O71" s="279" t="s">
        <v>226</v>
      </c>
      <c r="P71" s="280" t="s">
        <v>225</v>
      </c>
      <c r="Q71" s="279">
        <v>2</v>
      </c>
      <c r="R71" s="279">
        <v>5</v>
      </c>
      <c r="S71" s="279">
        <v>3</v>
      </c>
      <c r="T71" s="279">
        <v>2</v>
      </c>
      <c r="U71" s="280">
        <v>2</v>
      </c>
      <c r="V71" s="279">
        <v>4</v>
      </c>
      <c r="W71" s="279">
        <v>7</v>
      </c>
      <c r="X71" s="279">
        <v>10</v>
      </c>
      <c r="Y71" s="279">
        <v>4</v>
      </c>
      <c r="Z71" s="280">
        <v>4</v>
      </c>
      <c r="AA71" s="279">
        <v>3</v>
      </c>
      <c r="AB71" s="279">
        <v>2</v>
      </c>
      <c r="AC71" s="279">
        <v>1</v>
      </c>
      <c r="AD71" s="279" t="s">
        <v>41</v>
      </c>
      <c r="AE71" s="279">
        <v>2</v>
      </c>
      <c r="AF71" s="279" t="s">
        <v>41</v>
      </c>
      <c r="AG71" s="279" t="s">
        <v>41</v>
      </c>
      <c r="AH71" s="279" t="s">
        <v>41</v>
      </c>
      <c r="AI71" s="279" t="s">
        <v>41</v>
      </c>
      <c r="AJ71" s="279" t="s">
        <v>41</v>
      </c>
      <c r="AK71" s="280" t="s">
        <v>41</v>
      </c>
      <c r="AL71" s="279">
        <v>3</v>
      </c>
      <c r="AM71" s="279">
        <v>1</v>
      </c>
      <c r="AN71" s="280">
        <v>1</v>
      </c>
      <c r="AO71" s="281" t="s">
        <v>41</v>
      </c>
      <c r="AP71" s="280">
        <v>0</v>
      </c>
      <c r="AQ71" s="282">
        <f t="shared" si="61"/>
        <v>0.33333333333333348</v>
      </c>
      <c r="AR71" s="283" t="str">
        <f t="shared" si="62"/>
        <v>Minors</v>
      </c>
      <c r="AS71" s="282">
        <f t="shared" si="63"/>
        <v>5.25</v>
      </c>
      <c r="AT71" s="282" t="str">
        <f t="shared" si="64"/>
        <v>Reg</v>
      </c>
      <c r="AU71" s="283">
        <f t="shared" si="65"/>
        <v>5.25</v>
      </c>
      <c r="AV71" s="283" t="str">
        <f t="shared" si="66"/>
        <v>Reg</v>
      </c>
      <c r="AW71" s="284">
        <f t="shared" si="67"/>
        <v>0</v>
      </c>
      <c r="AX71" s="285">
        <f t="shared" si="68"/>
        <v>0</v>
      </c>
      <c r="AY71" s="285">
        <f t="shared" si="69"/>
        <v>0</v>
      </c>
      <c r="AZ71" s="285">
        <f t="shared" si="70"/>
        <v>0</v>
      </c>
      <c r="BA71" s="285">
        <f t="shared" si="71"/>
        <v>0</v>
      </c>
      <c r="BB71" s="285">
        <f t="shared" si="72"/>
        <v>0</v>
      </c>
      <c r="BC71" s="285">
        <f t="shared" si="73"/>
        <v>0</v>
      </c>
      <c r="BD71" s="285">
        <f t="shared" si="74"/>
        <v>0</v>
      </c>
      <c r="BE71" s="280">
        <f t="shared" si="75"/>
        <v>0</v>
      </c>
      <c r="BF71" s="284">
        <f t="shared" si="76"/>
        <v>0</v>
      </c>
      <c r="BG71" s="285">
        <f t="shared" si="77"/>
        <v>0</v>
      </c>
      <c r="BH71" s="285">
        <f t="shared" si="78"/>
        <v>0</v>
      </c>
      <c r="BI71" s="285">
        <f t="shared" si="79"/>
        <v>0</v>
      </c>
      <c r="BJ71" s="285">
        <f t="shared" si="80"/>
        <v>0</v>
      </c>
      <c r="BK71" s="285">
        <f t="shared" si="81"/>
        <v>0</v>
      </c>
      <c r="BL71" s="285">
        <f t="shared" si="82"/>
        <v>0</v>
      </c>
      <c r="BM71" s="285">
        <f t="shared" si="83"/>
        <v>0</v>
      </c>
      <c r="BN71" s="280">
        <f t="shared" si="84"/>
        <v>0</v>
      </c>
      <c r="BO71" s="280">
        <f t="shared" si="85"/>
        <v>0</v>
      </c>
      <c r="BP71" s="286">
        <f t="shared" si="86"/>
        <v>0</v>
      </c>
      <c r="BQ71" s="279" t="str">
        <f t="shared" si="87"/>
        <v/>
      </c>
      <c r="BR71" s="278" t="str">
        <f t="shared" si="88"/>
        <v>Possible</v>
      </c>
      <c r="BS71" s="279" t="str">
        <f t="shared" si="89"/>
        <v>aack!</v>
      </c>
      <c r="BT71" s="279" t="str">
        <f t="shared" si="90"/>
        <v>aack!</v>
      </c>
      <c r="BU71" s="279" t="str">
        <f t="shared" si="91"/>
        <v>SS-A</v>
      </c>
      <c r="BV71" s="279">
        <f t="shared" si="92"/>
        <v>-2</v>
      </c>
      <c r="BW71" s="279">
        <f t="shared" si="93"/>
        <v>-2</v>
      </c>
      <c r="BX71" s="279">
        <f t="shared" si="94"/>
        <v>-7</v>
      </c>
      <c r="BY71" s="279">
        <f t="shared" si="95"/>
        <v>-2</v>
      </c>
      <c r="BZ71" s="279">
        <f t="shared" si="96"/>
        <v>-2</v>
      </c>
      <c r="CA71" s="279">
        <f t="shared" si="97"/>
        <v>-15</v>
      </c>
      <c r="CB71" s="279">
        <f t="shared" si="98"/>
        <v>18</v>
      </c>
      <c r="CC71" s="279">
        <f t="shared" si="99"/>
        <v>14</v>
      </c>
      <c r="CD71" s="279">
        <f t="shared" si="100"/>
        <v>8</v>
      </c>
      <c r="CE71" s="279" t="str">
        <f t="shared" si="101"/>
        <v>With Dev</v>
      </c>
      <c r="CF71" s="294" t="str">
        <f t="shared" si="102"/>
        <v/>
      </c>
      <c r="CG71" s="294" t="str">
        <f t="shared" si="103"/>
        <v/>
      </c>
      <c r="CH71" s="294" t="str">
        <f t="shared" si="104"/>
        <v/>
      </c>
      <c r="CI71" s="294" t="str">
        <f t="shared" si="105"/>
        <v/>
      </c>
      <c r="CJ71" s="294" t="str">
        <f t="shared" si="110"/>
        <v/>
      </c>
      <c r="CK71" s="294" t="str">
        <f t="shared" si="106"/>
        <v/>
      </c>
      <c r="CL71" s="294" t="str">
        <f t="shared" si="107"/>
        <v/>
      </c>
      <c r="CM71" s="294" t="str">
        <f t="shared" si="108"/>
        <v/>
      </c>
      <c r="CN71" s="294" t="str">
        <f t="shared" si="109"/>
        <v>X</v>
      </c>
    </row>
    <row r="72" spans="1:92">
      <c r="A72" s="277" t="str">
        <f>IF(ISERROR(VLOOKUP(G72,CON!$C$3:$C$24,1,FALSE)),IF(ISERROR(VLOOKUP(G72,'PSP-AAA'!$C$6:$C$33,1,FALSE)),IF(ISERROR(VLOOKUP(G72,'NH-AA'!$C$6:$C$33,1,FALSE)),IF(ISERROR(VLOOKUP(G72,'CRG-A'!$C$6:$C$33,1,FALSE)),IF(ISERROR(VLOOKUP(G72,'PC-S A'!$C$6:$C$33,1,FALSE)),"","S A"),"A"),"AA"),"AAA"),"ML")</f>
        <v/>
      </c>
      <c r="B72" s="278"/>
      <c r="C72" s="279" t="str">
        <f t="shared" si="58"/>
        <v>-</v>
      </c>
      <c r="D72" s="279" t="str">
        <f t="shared" si="59"/>
        <v>-</v>
      </c>
      <c r="E72" s="279" t="str">
        <f t="shared" si="60"/>
        <v>T</v>
      </c>
      <c r="F72" s="279" t="s">
        <v>100</v>
      </c>
      <c r="G72" s="279" t="s">
        <v>469</v>
      </c>
      <c r="H72" s="279" t="s">
        <v>370</v>
      </c>
      <c r="I72" s="279" t="s">
        <v>316</v>
      </c>
      <c r="J72" s="279">
        <v>20</v>
      </c>
      <c r="K72" s="279" t="s">
        <v>103</v>
      </c>
      <c r="L72" s="279" t="s">
        <v>103</v>
      </c>
      <c r="M72" s="279" t="s">
        <v>47</v>
      </c>
      <c r="N72" s="280" t="s">
        <v>47</v>
      </c>
      <c r="O72" s="279" t="s">
        <v>226</v>
      </c>
      <c r="P72" s="280" t="s">
        <v>225</v>
      </c>
      <c r="Q72" s="279">
        <v>2</v>
      </c>
      <c r="R72" s="279">
        <v>3</v>
      </c>
      <c r="S72" s="279">
        <v>1</v>
      </c>
      <c r="T72" s="279">
        <v>2</v>
      </c>
      <c r="U72" s="280">
        <v>3</v>
      </c>
      <c r="V72" s="279">
        <v>4</v>
      </c>
      <c r="W72" s="279">
        <v>5</v>
      </c>
      <c r="X72" s="279">
        <v>3</v>
      </c>
      <c r="Y72" s="279">
        <v>4</v>
      </c>
      <c r="Z72" s="280">
        <v>4</v>
      </c>
      <c r="AA72" s="279">
        <v>1</v>
      </c>
      <c r="AB72" s="279">
        <v>7</v>
      </c>
      <c r="AC72" s="279">
        <v>1</v>
      </c>
      <c r="AD72" s="279" t="s">
        <v>41</v>
      </c>
      <c r="AE72" s="279" t="s">
        <v>41</v>
      </c>
      <c r="AF72" s="279" t="s">
        <v>41</v>
      </c>
      <c r="AG72" s="279" t="s">
        <v>41</v>
      </c>
      <c r="AH72" s="279" t="s">
        <v>41</v>
      </c>
      <c r="AI72" s="279">
        <v>1</v>
      </c>
      <c r="AJ72" s="279" t="s">
        <v>41</v>
      </c>
      <c r="AK72" s="280">
        <v>2</v>
      </c>
      <c r="AL72" s="279">
        <v>10</v>
      </c>
      <c r="AM72" s="279">
        <v>10</v>
      </c>
      <c r="AN72" s="280">
        <v>10</v>
      </c>
      <c r="AO72" s="281" t="s">
        <v>41</v>
      </c>
      <c r="AP72" s="280">
        <v>0</v>
      </c>
      <c r="AQ72" s="282">
        <f t="shared" si="61"/>
        <v>-0.33333333333333326</v>
      </c>
      <c r="AR72" s="283" t="str">
        <f t="shared" si="62"/>
        <v>Minors</v>
      </c>
      <c r="AS72" s="282">
        <f t="shared" si="63"/>
        <v>2.6666666666666665</v>
      </c>
      <c r="AT72" s="282" t="str">
        <f t="shared" si="64"/>
        <v>Minors</v>
      </c>
      <c r="AU72" s="283">
        <f t="shared" si="65"/>
        <v>2.6666666666666665</v>
      </c>
      <c r="AV72" s="283" t="str">
        <f t="shared" si="66"/>
        <v>Minors</v>
      </c>
      <c r="AW72" s="284">
        <f t="shared" si="67"/>
        <v>0</v>
      </c>
      <c r="AX72" s="285">
        <f t="shared" si="68"/>
        <v>0</v>
      </c>
      <c r="AY72" s="285">
        <f t="shared" si="69"/>
        <v>0</v>
      </c>
      <c r="AZ72" s="285">
        <f t="shared" si="70"/>
        <v>0</v>
      </c>
      <c r="BA72" s="285">
        <f t="shared" si="71"/>
        <v>0</v>
      </c>
      <c r="BB72" s="285">
        <f t="shared" si="72"/>
        <v>0</v>
      </c>
      <c r="BC72" s="285">
        <f t="shared" si="73"/>
        <v>0</v>
      </c>
      <c r="BD72" s="285">
        <f t="shared" si="74"/>
        <v>0</v>
      </c>
      <c r="BE72" s="280">
        <f t="shared" si="75"/>
        <v>0</v>
      </c>
      <c r="BF72" s="284">
        <f t="shared" si="76"/>
        <v>0</v>
      </c>
      <c r="BG72" s="285">
        <f t="shared" si="77"/>
        <v>0</v>
      </c>
      <c r="BH72" s="285">
        <f t="shared" si="78"/>
        <v>0</v>
      </c>
      <c r="BI72" s="285">
        <f t="shared" si="79"/>
        <v>0</v>
      </c>
      <c r="BJ72" s="285">
        <f t="shared" si="80"/>
        <v>0</v>
      </c>
      <c r="BK72" s="285">
        <f t="shared" si="81"/>
        <v>0</v>
      </c>
      <c r="BL72" s="285">
        <f t="shared" si="82"/>
        <v>0</v>
      </c>
      <c r="BM72" s="285">
        <f t="shared" si="83"/>
        <v>0</v>
      </c>
      <c r="BN72" s="280">
        <f t="shared" si="84"/>
        <v>0</v>
      </c>
      <c r="BO72" s="280">
        <f t="shared" si="85"/>
        <v>6</v>
      </c>
      <c r="BP72" s="286">
        <f t="shared" si="86"/>
        <v>0</v>
      </c>
      <c r="BQ72" s="279" t="str">
        <f t="shared" si="87"/>
        <v/>
      </c>
      <c r="BR72" s="278" t="str">
        <f t="shared" si="88"/>
        <v>Unlikely</v>
      </c>
      <c r="BS72" s="279" t="str">
        <f t="shared" si="89"/>
        <v>aack!</v>
      </c>
      <c r="BT72" s="279" t="str">
        <f t="shared" si="90"/>
        <v>aack!</v>
      </c>
      <c r="BU72" s="279" t="str">
        <f t="shared" si="91"/>
        <v>SS-A</v>
      </c>
      <c r="BV72" s="279">
        <f t="shared" si="92"/>
        <v>-2</v>
      </c>
      <c r="BW72" s="279">
        <f t="shared" si="93"/>
        <v>-2</v>
      </c>
      <c r="BX72" s="279">
        <f t="shared" si="94"/>
        <v>-2</v>
      </c>
      <c r="BY72" s="279">
        <f t="shared" si="95"/>
        <v>-2</v>
      </c>
      <c r="BZ72" s="279">
        <f t="shared" si="96"/>
        <v>-1</v>
      </c>
      <c r="CA72" s="279">
        <f t="shared" si="97"/>
        <v>-9</v>
      </c>
      <c r="CB72" s="279">
        <f t="shared" si="98"/>
        <v>11</v>
      </c>
      <c r="CC72" s="279">
        <f t="shared" si="99"/>
        <v>7</v>
      </c>
      <c r="CD72" s="279">
        <f t="shared" si="100"/>
        <v>8</v>
      </c>
      <c r="CE72" s="279" t="str">
        <f t="shared" si="101"/>
        <v>With Dev</v>
      </c>
      <c r="CF72" s="294" t="str">
        <f t="shared" si="102"/>
        <v/>
      </c>
      <c r="CG72" s="294" t="str">
        <f t="shared" si="103"/>
        <v/>
      </c>
      <c r="CH72" s="294" t="str">
        <f t="shared" si="104"/>
        <v/>
      </c>
      <c r="CI72" s="294" t="str">
        <f t="shared" si="105"/>
        <v/>
      </c>
      <c r="CJ72" s="294" t="str">
        <f t="shared" si="110"/>
        <v/>
      </c>
      <c r="CK72" s="294" t="str">
        <f t="shared" si="106"/>
        <v/>
      </c>
      <c r="CL72" s="294" t="str">
        <f t="shared" si="107"/>
        <v/>
      </c>
      <c r="CM72" s="294" t="str">
        <f t="shared" si="108"/>
        <v/>
      </c>
      <c r="CN72" s="294" t="str">
        <f t="shared" si="109"/>
        <v>X</v>
      </c>
    </row>
    <row r="73" spans="1:92">
      <c r="A73" s="277" t="str">
        <f>IF(ISERROR(VLOOKUP(G73,CON!$C$3:$C$24,1,FALSE)),IF(ISERROR(VLOOKUP(G73,'PSP-AAA'!$C$6:$C$33,1,FALSE)),IF(ISERROR(VLOOKUP(G73,'NH-AA'!$C$6:$C$33,1,FALSE)),IF(ISERROR(VLOOKUP(G73,'CRG-A'!$C$6:$C$33,1,FALSE)),IF(ISERROR(VLOOKUP(G73,'PC-S A'!$C$6:$C$33,1,FALSE)),"","S A"),"A"),"AA"),"AAA"),"ML")</f>
        <v/>
      </c>
      <c r="B73" s="278"/>
      <c r="C73" s="279" t="str">
        <f t="shared" si="58"/>
        <v>-</v>
      </c>
      <c r="D73" s="279" t="str">
        <f t="shared" si="59"/>
        <v>-</v>
      </c>
      <c r="E73" s="279" t="str">
        <f t="shared" si="60"/>
        <v>T</v>
      </c>
      <c r="F73" s="279" t="s">
        <v>94</v>
      </c>
      <c r="G73" s="279" t="s">
        <v>497</v>
      </c>
      <c r="H73" s="279" t="s">
        <v>370</v>
      </c>
      <c r="I73" s="279" t="s">
        <v>316</v>
      </c>
      <c r="J73" s="279">
        <v>20</v>
      </c>
      <c r="K73" s="279" t="s">
        <v>104</v>
      </c>
      <c r="L73" s="279" t="s">
        <v>104</v>
      </c>
      <c r="M73" s="279" t="s">
        <v>47</v>
      </c>
      <c r="N73" s="280" t="s">
        <v>47</v>
      </c>
      <c r="O73" s="279" t="s">
        <v>226</v>
      </c>
      <c r="P73" s="280" t="s">
        <v>224</v>
      </c>
      <c r="Q73" s="279">
        <v>1</v>
      </c>
      <c r="R73" s="279">
        <v>2</v>
      </c>
      <c r="S73" s="279">
        <v>1</v>
      </c>
      <c r="T73" s="279">
        <v>3</v>
      </c>
      <c r="U73" s="280">
        <v>1</v>
      </c>
      <c r="V73" s="279">
        <v>2</v>
      </c>
      <c r="W73" s="279">
        <v>4</v>
      </c>
      <c r="X73" s="279">
        <v>3</v>
      </c>
      <c r="Y73" s="279">
        <v>6</v>
      </c>
      <c r="Z73" s="280">
        <v>3</v>
      </c>
      <c r="AA73" s="279">
        <v>6</v>
      </c>
      <c r="AB73" s="279">
        <v>2</v>
      </c>
      <c r="AC73" s="279">
        <v>2</v>
      </c>
      <c r="AD73" s="279" t="s">
        <v>41</v>
      </c>
      <c r="AE73" s="279">
        <v>4</v>
      </c>
      <c r="AF73" s="279" t="s">
        <v>41</v>
      </c>
      <c r="AG73" s="279">
        <v>2</v>
      </c>
      <c r="AH73" s="279" t="s">
        <v>41</v>
      </c>
      <c r="AI73" s="279" t="s">
        <v>41</v>
      </c>
      <c r="AJ73" s="279" t="s">
        <v>41</v>
      </c>
      <c r="AK73" s="280" t="s">
        <v>41</v>
      </c>
      <c r="AL73" s="279">
        <v>3</v>
      </c>
      <c r="AM73" s="279">
        <v>4</v>
      </c>
      <c r="AN73" s="280">
        <v>5</v>
      </c>
      <c r="AO73" s="281" t="s">
        <v>41</v>
      </c>
      <c r="AP73" s="280" t="s">
        <v>45</v>
      </c>
      <c r="AQ73" s="282">
        <f t="shared" si="61"/>
        <v>-0.83333333333333326</v>
      </c>
      <c r="AR73" s="283" t="str">
        <f t="shared" si="62"/>
        <v>Minors</v>
      </c>
      <c r="AS73" s="282">
        <f t="shared" si="63"/>
        <v>1.6666666666666665</v>
      </c>
      <c r="AT73" s="282" t="str">
        <f t="shared" si="64"/>
        <v>Minors</v>
      </c>
      <c r="AU73" s="283">
        <f t="shared" si="65"/>
        <v>1.6666666666666665</v>
      </c>
      <c r="AV73" s="283" t="str">
        <f t="shared" si="66"/>
        <v>Minors</v>
      </c>
      <c r="AW73" s="284">
        <f t="shared" si="67"/>
        <v>0</v>
      </c>
      <c r="AX73" s="285">
        <f t="shared" si="68"/>
        <v>0</v>
      </c>
      <c r="AY73" s="285">
        <f t="shared" si="69"/>
        <v>0</v>
      </c>
      <c r="AZ73" s="285">
        <f t="shared" si="70"/>
        <v>0</v>
      </c>
      <c r="BA73" s="285">
        <f t="shared" si="71"/>
        <v>0</v>
      </c>
      <c r="BB73" s="285">
        <f t="shared" si="72"/>
        <v>0</v>
      </c>
      <c r="BC73" s="285">
        <f t="shared" si="73"/>
        <v>0</v>
      </c>
      <c r="BD73" s="285">
        <f t="shared" si="74"/>
        <v>0</v>
      </c>
      <c r="BE73" s="280">
        <f t="shared" si="75"/>
        <v>0</v>
      </c>
      <c r="BF73" s="284">
        <f t="shared" si="76"/>
        <v>0</v>
      </c>
      <c r="BG73" s="285">
        <f t="shared" si="77"/>
        <v>0</v>
      </c>
      <c r="BH73" s="285">
        <f t="shared" si="78"/>
        <v>0</v>
      </c>
      <c r="BI73" s="285">
        <f t="shared" si="79"/>
        <v>0</v>
      </c>
      <c r="BJ73" s="285">
        <f t="shared" si="80"/>
        <v>0</v>
      </c>
      <c r="BK73" s="285">
        <f t="shared" si="81"/>
        <v>0</v>
      </c>
      <c r="BL73" s="285">
        <f t="shared" si="82"/>
        <v>0</v>
      </c>
      <c r="BM73" s="285">
        <f t="shared" si="83"/>
        <v>0</v>
      </c>
      <c r="BN73" s="280">
        <f t="shared" si="84"/>
        <v>0</v>
      </c>
      <c r="BO73" s="280">
        <f t="shared" si="85"/>
        <v>0</v>
      </c>
      <c r="BP73" s="286">
        <f t="shared" si="86"/>
        <v>0</v>
      </c>
      <c r="BQ73" s="279" t="str">
        <f t="shared" si="87"/>
        <v/>
      </c>
      <c r="BR73" s="278" t="str">
        <f t="shared" si="88"/>
        <v>Unlikely</v>
      </c>
      <c r="BS73" s="279" t="str">
        <f t="shared" si="89"/>
        <v>aack!</v>
      </c>
      <c r="BT73" s="279" t="str">
        <f t="shared" si="90"/>
        <v>aack!</v>
      </c>
      <c r="BU73" s="279" t="str">
        <f t="shared" si="91"/>
        <v>SS-A</v>
      </c>
      <c r="BV73" s="279">
        <f t="shared" si="92"/>
        <v>-1</v>
      </c>
      <c r="BW73" s="279">
        <f t="shared" si="93"/>
        <v>-2</v>
      </c>
      <c r="BX73" s="279">
        <f t="shared" si="94"/>
        <v>-2</v>
      </c>
      <c r="BY73" s="279">
        <f t="shared" si="95"/>
        <v>-3</v>
      </c>
      <c r="BZ73" s="279">
        <f t="shared" si="96"/>
        <v>-2</v>
      </c>
      <c r="CA73" s="279">
        <f t="shared" si="97"/>
        <v>-10</v>
      </c>
      <c r="CB73" s="279">
        <f t="shared" si="98"/>
        <v>11</v>
      </c>
      <c r="CC73" s="279">
        <f t="shared" si="99"/>
        <v>5</v>
      </c>
      <c r="CD73" s="279">
        <f t="shared" si="100"/>
        <v>8</v>
      </c>
      <c r="CE73" s="279" t="str">
        <f t="shared" si="101"/>
        <v>With Dev</v>
      </c>
      <c r="CF73" s="294" t="str">
        <f t="shared" si="102"/>
        <v/>
      </c>
      <c r="CG73" s="294" t="str">
        <f t="shared" si="103"/>
        <v/>
      </c>
      <c r="CH73" s="294" t="str">
        <f t="shared" si="104"/>
        <v/>
      </c>
      <c r="CI73" s="294" t="str">
        <f t="shared" si="105"/>
        <v/>
      </c>
      <c r="CJ73" s="294" t="str">
        <f t="shared" si="110"/>
        <v/>
      </c>
      <c r="CK73" s="294" t="str">
        <f t="shared" si="106"/>
        <v/>
      </c>
      <c r="CL73" s="294" t="str">
        <f t="shared" si="107"/>
        <v/>
      </c>
      <c r="CM73" s="294" t="str">
        <f t="shared" si="108"/>
        <v/>
      </c>
      <c r="CN73" s="294" t="str">
        <f t="shared" si="109"/>
        <v>X</v>
      </c>
    </row>
    <row r="74" spans="1:92">
      <c r="A74" s="277" t="str">
        <f>IF(ISERROR(VLOOKUP(G74,CON!$C$3:$C$24,1,FALSE)),IF(ISERROR(VLOOKUP(G74,'PSP-AAA'!$C$6:$C$33,1,FALSE)),IF(ISERROR(VLOOKUP(G74,'NH-AA'!$C$6:$C$33,1,FALSE)),IF(ISERROR(VLOOKUP(G74,'CRG-A'!$C$6:$C$33,1,FALSE)),IF(ISERROR(VLOOKUP(G74,'PC-S A'!$C$6:$C$33,1,FALSE)),"","S A"),"A"),"AA"),"AAA"),"ML")</f>
        <v/>
      </c>
      <c r="B74" s="278"/>
      <c r="C74" s="279" t="str">
        <f t="shared" si="58"/>
        <v>-</v>
      </c>
      <c r="D74" s="279" t="str">
        <f t="shared" si="59"/>
        <v>-</v>
      </c>
      <c r="E74" s="279" t="str">
        <f t="shared" si="60"/>
        <v>T</v>
      </c>
      <c r="F74" s="279" t="s">
        <v>92</v>
      </c>
      <c r="G74" s="279" t="s">
        <v>592</v>
      </c>
      <c r="H74" s="279" t="s">
        <v>370</v>
      </c>
      <c r="I74" s="279" t="s">
        <v>316</v>
      </c>
      <c r="J74" s="279">
        <v>18</v>
      </c>
      <c r="K74" s="279" t="s">
        <v>104</v>
      </c>
      <c r="L74" s="279" t="s">
        <v>104</v>
      </c>
      <c r="M74" s="279" t="s">
        <v>47</v>
      </c>
      <c r="N74" s="280" t="s">
        <v>47</v>
      </c>
      <c r="O74" s="279" t="s">
        <v>227</v>
      </c>
      <c r="P74" s="280" t="s">
        <v>224</v>
      </c>
      <c r="Q74" s="279">
        <v>1</v>
      </c>
      <c r="R74" s="279">
        <v>2</v>
      </c>
      <c r="S74" s="279">
        <v>1</v>
      </c>
      <c r="T74" s="279">
        <v>1</v>
      </c>
      <c r="U74" s="280">
        <v>1</v>
      </c>
      <c r="V74" s="279">
        <v>3</v>
      </c>
      <c r="W74" s="279">
        <v>4</v>
      </c>
      <c r="X74" s="279">
        <v>1</v>
      </c>
      <c r="Y74" s="279">
        <v>3</v>
      </c>
      <c r="Z74" s="280">
        <v>3</v>
      </c>
      <c r="AA74" s="279">
        <v>4</v>
      </c>
      <c r="AB74" s="279">
        <v>3</v>
      </c>
      <c r="AC74" s="279">
        <v>5</v>
      </c>
      <c r="AD74" s="279" t="s">
        <v>41</v>
      </c>
      <c r="AE74" s="279" t="s">
        <v>41</v>
      </c>
      <c r="AF74" s="279" t="s">
        <v>41</v>
      </c>
      <c r="AG74" s="279" t="s">
        <v>41</v>
      </c>
      <c r="AH74" s="279" t="s">
        <v>41</v>
      </c>
      <c r="AI74" s="279" t="s">
        <v>41</v>
      </c>
      <c r="AJ74" s="279" t="s">
        <v>41</v>
      </c>
      <c r="AK74" s="280" t="s">
        <v>41</v>
      </c>
      <c r="AL74" s="279">
        <v>8</v>
      </c>
      <c r="AM74" s="279">
        <v>9</v>
      </c>
      <c r="AN74" s="280">
        <v>10</v>
      </c>
      <c r="AO74" s="281" t="s">
        <v>41</v>
      </c>
      <c r="AP74" s="280" t="s">
        <v>45</v>
      </c>
      <c r="AQ74" s="282">
        <f t="shared" si="61"/>
        <v>-1.5</v>
      </c>
      <c r="AR74" s="283" t="str">
        <f t="shared" si="62"/>
        <v>Minors</v>
      </c>
      <c r="AS74" s="282">
        <f t="shared" si="63"/>
        <v>0.83333333333333348</v>
      </c>
      <c r="AT74" s="282" t="str">
        <f t="shared" si="64"/>
        <v>Minors</v>
      </c>
      <c r="AU74" s="283">
        <f t="shared" si="65"/>
        <v>0.83333333333333348</v>
      </c>
      <c r="AV74" s="283" t="str">
        <f t="shared" si="66"/>
        <v>Minors</v>
      </c>
      <c r="AW74" s="284">
        <f t="shared" si="67"/>
        <v>0</v>
      </c>
      <c r="AX74" s="285">
        <f t="shared" si="68"/>
        <v>0</v>
      </c>
      <c r="AY74" s="285">
        <f t="shared" si="69"/>
        <v>0</v>
      </c>
      <c r="AZ74" s="285">
        <f t="shared" si="70"/>
        <v>0</v>
      </c>
      <c r="BA74" s="285">
        <f t="shared" si="71"/>
        <v>0</v>
      </c>
      <c r="BB74" s="285">
        <f t="shared" si="72"/>
        <v>0</v>
      </c>
      <c r="BC74" s="285">
        <f t="shared" si="73"/>
        <v>0</v>
      </c>
      <c r="BD74" s="285">
        <f t="shared" si="74"/>
        <v>0</v>
      </c>
      <c r="BE74" s="280">
        <f t="shared" si="75"/>
        <v>0</v>
      </c>
      <c r="BF74" s="284">
        <f t="shared" si="76"/>
        <v>0</v>
      </c>
      <c r="BG74" s="285">
        <f t="shared" si="77"/>
        <v>0</v>
      </c>
      <c r="BH74" s="285">
        <f t="shared" si="78"/>
        <v>0</v>
      </c>
      <c r="BI74" s="285">
        <f t="shared" si="79"/>
        <v>0</v>
      </c>
      <c r="BJ74" s="285">
        <f t="shared" si="80"/>
        <v>0</v>
      </c>
      <c r="BK74" s="285">
        <f t="shared" si="81"/>
        <v>0</v>
      </c>
      <c r="BL74" s="285">
        <f t="shared" si="82"/>
        <v>0</v>
      </c>
      <c r="BM74" s="285">
        <f t="shared" si="83"/>
        <v>0</v>
      </c>
      <c r="BN74" s="280">
        <f t="shared" si="84"/>
        <v>0</v>
      </c>
      <c r="BO74" s="280">
        <f t="shared" si="85"/>
        <v>5</v>
      </c>
      <c r="BP74" s="286">
        <f t="shared" si="86"/>
        <v>0</v>
      </c>
      <c r="BQ74" s="279" t="str">
        <f t="shared" si="87"/>
        <v/>
      </c>
      <c r="BR74" s="278" t="str">
        <f t="shared" si="88"/>
        <v>Unlikely</v>
      </c>
      <c r="BS74" s="279" t="str">
        <f t="shared" si="89"/>
        <v>aack!</v>
      </c>
      <c r="BT74" s="279" t="str">
        <f t="shared" si="90"/>
        <v>aack!</v>
      </c>
      <c r="BU74" s="279" t="str">
        <f t="shared" si="91"/>
        <v>SS-A</v>
      </c>
      <c r="BV74" s="279">
        <f t="shared" si="92"/>
        <v>-2</v>
      </c>
      <c r="BW74" s="279">
        <f t="shared" si="93"/>
        <v>-2</v>
      </c>
      <c r="BX74" s="279">
        <f t="shared" si="94"/>
        <v>0</v>
      </c>
      <c r="BY74" s="279">
        <f t="shared" si="95"/>
        <v>-2</v>
      </c>
      <c r="BZ74" s="279">
        <f t="shared" si="96"/>
        <v>-2</v>
      </c>
      <c r="CA74" s="279">
        <f t="shared" si="97"/>
        <v>-8</v>
      </c>
      <c r="CB74" s="279">
        <f t="shared" si="98"/>
        <v>7</v>
      </c>
      <c r="CC74" s="279">
        <f t="shared" si="99"/>
        <v>4</v>
      </c>
      <c r="CD74" s="279">
        <f t="shared" si="100"/>
        <v>6</v>
      </c>
      <c r="CE74" s="279" t="str">
        <f t="shared" si="101"/>
        <v>With Dev</v>
      </c>
      <c r="CF74" s="294" t="str">
        <f t="shared" si="102"/>
        <v/>
      </c>
      <c r="CG74" s="294" t="str">
        <f t="shared" si="103"/>
        <v/>
      </c>
      <c r="CH74" s="294" t="str">
        <f t="shared" si="104"/>
        <v/>
      </c>
      <c r="CI74" s="294" t="str">
        <f t="shared" si="105"/>
        <v/>
      </c>
      <c r="CJ74" s="294" t="str">
        <f t="shared" si="110"/>
        <v/>
      </c>
      <c r="CK74" s="294" t="str">
        <f t="shared" si="106"/>
        <v/>
      </c>
      <c r="CL74" s="294" t="str">
        <f t="shared" si="107"/>
        <v/>
      </c>
      <c r="CM74" s="294" t="str">
        <f t="shared" si="108"/>
        <v/>
      </c>
      <c r="CN74" s="294" t="str">
        <f t="shared" si="109"/>
        <v>X</v>
      </c>
    </row>
    <row r="75" spans="1:92">
      <c r="A75" s="277"/>
      <c r="B75" s="278"/>
      <c r="C75" s="279"/>
      <c r="D75" s="279"/>
      <c r="E75" s="279"/>
      <c r="F75" s="279"/>
      <c r="G75" s="279"/>
      <c r="H75" s="279"/>
      <c r="I75" s="279"/>
      <c r="J75" s="279"/>
      <c r="K75" s="279"/>
      <c r="L75" s="279"/>
      <c r="M75" s="279"/>
      <c r="N75" s="280"/>
      <c r="O75" s="279"/>
      <c r="P75" s="280"/>
      <c r="Q75" s="279"/>
      <c r="R75" s="279"/>
      <c r="S75" s="279"/>
      <c r="T75" s="279"/>
      <c r="U75" s="280"/>
      <c r="V75" s="279"/>
      <c r="W75" s="279"/>
      <c r="X75" s="279"/>
      <c r="Y75" s="279"/>
      <c r="Z75" s="280"/>
      <c r="AA75" s="279"/>
      <c r="AB75" s="279"/>
      <c r="AC75" s="279"/>
      <c r="AD75" s="279"/>
      <c r="AE75" s="279"/>
      <c r="AF75" s="279"/>
      <c r="AG75" s="279"/>
      <c r="AH75" s="279"/>
      <c r="AI75" s="279"/>
      <c r="AJ75" s="279"/>
      <c r="AK75" s="280"/>
      <c r="AL75" s="279"/>
      <c r="AM75" s="279"/>
      <c r="AN75" s="280"/>
      <c r="AO75" s="281"/>
      <c r="AP75" s="280"/>
      <c r="AQ75" s="282"/>
      <c r="AR75" s="283"/>
      <c r="AS75" s="282"/>
      <c r="AT75" s="282"/>
      <c r="AU75" s="283"/>
      <c r="AV75" s="283"/>
      <c r="AW75" s="284"/>
      <c r="AX75" s="285"/>
      <c r="AY75" s="285"/>
      <c r="AZ75" s="285"/>
      <c r="BA75" s="285"/>
      <c r="BB75" s="285"/>
      <c r="BC75" s="285"/>
      <c r="BD75" s="285"/>
      <c r="BE75" s="280"/>
      <c r="BF75" s="284"/>
      <c r="BG75" s="285"/>
      <c r="BH75" s="285"/>
      <c r="BI75" s="285"/>
      <c r="BJ75" s="285"/>
      <c r="BK75" s="285"/>
      <c r="BL75" s="285"/>
      <c r="BM75" s="285"/>
      <c r="BN75" s="280"/>
      <c r="BO75" s="280"/>
      <c r="BP75" s="286"/>
      <c r="BQ75" s="279"/>
      <c r="BR75" s="278"/>
      <c r="BS75" s="279"/>
      <c r="BT75" s="279"/>
      <c r="BU75" s="279"/>
      <c r="BV75" s="279"/>
      <c r="BW75" s="279"/>
      <c r="BX75" s="279"/>
      <c r="BY75" s="279"/>
      <c r="BZ75" s="279"/>
      <c r="CA75" s="279"/>
      <c r="CB75" s="279"/>
      <c r="CC75" s="279"/>
      <c r="CD75" s="279"/>
      <c r="CE75" s="279"/>
      <c r="CF75" s="294"/>
      <c r="CG75" s="294"/>
      <c r="CH75" s="294"/>
      <c r="CI75" s="294"/>
      <c r="CJ75" s="294"/>
      <c r="CK75" s="294"/>
      <c r="CL75" s="294"/>
      <c r="CM75" s="294"/>
      <c r="CN75" s="294"/>
    </row>
    <row r="76" spans="1:92">
      <c r="A76" s="277"/>
      <c r="B76" s="278"/>
      <c r="C76" s="279"/>
      <c r="D76" s="279"/>
      <c r="E76" s="279"/>
      <c r="F76" s="279"/>
      <c r="G76" s="279"/>
      <c r="H76" s="279"/>
      <c r="I76" s="279"/>
      <c r="J76" s="279"/>
      <c r="K76" s="279"/>
      <c r="L76" s="279"/>
      <c r="M76" s="279"/>
      <c r="N76" s="280"/>
      <c r="O76" s="279"/>
      <c r="P76" s="280"/>
      <c r="Q76" s="279"/>
      <c r="R76" s="279"/>
      <c r="S76" s="279"/>
      <c r="T76" s="279"/>
      <c r="U76" s="280"/>
      <c r="V76" s="279"/>
      <c r="W76" s="279"/>
      <c r="X76" s="279"/>
      <c r="Y76" s="279"/>
      <c r="Z76" s="280"/>
      <c r="AA76" s="279"/>
      <c r="AB76" s="279"/>
      <c r="AC76" s="279"/>
      <c r="AD76" s="279"/>
      <c r="AE76" s="279"/>
      <c r="AF76" s="279"/>
      <c r="AG76" s="279"/>
      <c r="AH76" s="279"/>
      <c r="AI76" s="279"/>
      <c r="AJ76" s="279"/>
      <c r="AK76" s="280"/>
      <c r="AL76" s="279"/>
      <c r="AM76" s="279"/>
      <c r="AN76" s="280"/>
      <c r="AO76" s="281"/>
      <c r="AP76" s="280"/>
      <c r="AQ76" s="282"/>
      <c r="AR76" s="283"/>
      <c r="AS76" s="282"/>
      <c r="AT76" s="282"/>
      <c r="AU76" s="283"/>
      <c r="AV76" s="283"/>
      <c r="AW76" s="284"/>
      <c r="AX76" s="285"/>
      <c r="AY76" s="285"/>
      <c r="AZ76" s="285"/>
      <c r="BA76" s="285"/>
      <c r="BB76" s="285"/>
      <c r="BC76" s="285"/>
      <c r="BD76" s="285"/>
      <c r="BE76" s="280"/>
      <c r="BF76" s="284"/>
      <c r="BG76" s="285"/>
      <c r="BH76" s="285"/>
      <c r="BI76" s="285"/>
      <c r="BJ76" s="285"/>
      <c r="BK76" s="285"/>
      <c r="BL76" s="285"/>
      <c r="BM76" s="285"/>
      <c r="BN76" s="280"/>
      <c r="BO76" s="280"/>
      <c r="BP76" s="286"/>
      <c r="BQ76" s="279"/>
      <c r="BR76" s="278"/>
      <c r="BS76" s="279"/>
      <c r="BT76" s="279"/>
      <c r="BU76" s="279"/>
      <c r="BV76" s="279"/>
      <c r="BW76" s="279"/>
      <c r="BX76" s="279"/>
      <c r="BY76" s="279"/>
      <c r="BZ76" s="279"/>
      <c r="CA76" s="279"/>
      <c r="CB76" s="279"/>
      <c r="CC76" s="279"/>
      <c r="CD76" s="279"/>
      <c r="CE76" s="279"/>
      <c r="CF76" s="294"/>
      <c r="CG76" s="294"/>
      <c r="CH76" s="294"/>
      <c r="CI76" s="294"/>
      <c r="CJ76" s="294"/>
      <c r="CK76" s="294"/>
      <c r="CL76" s="294"/>
      <c r="CM76" s="294"/>
      <c r="CN76" s="294"/>
    </row>
    <row r="77" spans="1:92">
      <c r="A77" s="277"/>
      <c r="B77" s="278"/>
      <c r="C77" s="279"/>
      <c r="D77" s="279"/>
      <c r="E77" s="279"/>
      <c r="F77" s="279"/>
      <c r="G77" s="279"/>
      <c r="H77" s="279"/>
      <c r="I77" s="279"/>
      <c r="J77" s="279"/>
      <c r="K77" s="279"/>
      <c r="L77" s="279"/>
      <c r="M77" s="279"/>
      <c r="N77" s="280"/>
      <c r="O77" s="279"/>
      <c r="P77" s="280"/>
      <c r="Q77" s="279"/>
      <c r="R77" s="279"/>
      <c r="S77" s="279"/>
      <c r="T77" s="279"/>
      <c r="U77" s="280"/>
      <c r="V77" s="279"/>
      <c r="W77" s="279"/>
      <c r="X77" s="279"/>
      <c r="Y77" s="279"/>
      <c r="Z77" s="280"/>
      <c r="AA77" s="279"/>
      <c r="AB77" s="279"/>
      <c r="AC77" s="279"/>
      <c r="AD77" s="279"/>
      <c r="AE77" s="279"/>
      <c r="AF77" s="279"/>
      <c r="AG77" s="279"/>
      <c r="AH77" s="279"/>
      <c r="AI77" s="279"/>
      <c r="AJ77" s="279"/>
      <c r="AK77" s="280"/>
      <c r="AL77" s="279"/>
      <c r="AM77" s="279"/>
      <c r="AN77" s="280"/>
      <c r="AO77" s="281"/>
      <c r="AP77" s="280"/>
      <c r="AQ77" s="282"/>
      <c r="AR77" s="283"/>
      <c r="AS77" s="282"/>
      <c r="AT77" s="282"/>
      <c r="AU77" s="283"/>
      <c r="AV77" s="283"/>
      <c r="AW77" s="284"/>
      <c r="AX77" s="285"/>
      <c r="AY77" s="285"/>
      <c r="AZ77" s="285"/>
      <c r="BA77" s="285"/>
      <c r="BB77" s="285"/>
      <c r="BC77" s="285"/>
      <c r="BD77" s="285"/>
      <c r="BE77" s="280"/>
      <c r="BF77" s="284"/>
      <c r="BG77" s="285"/>
      <c r="BH77" s="285"/>
      <c r="BI77" s="285"/>
      <c r="BJ77" s="285"/>
      <c r="BK77" s="285"/>
      <c r="BL77" s="285"/>
      <c r="BM77" s="285"/>
      <c r="BN77" s="280"/>
      <c r="BO77" s="280"/>
      <c r="BP77" s="286"/>
      <c r="BQ77" s="279"/>
      <c r="BR77" s="278"/>
      <c r="BS77" s="279"/>
      <c r="BT77" s="279"/>
      <c r="BU77" s="279"/>
      <c r="BV77" s="279"/>
      <c r="BW77" s="279"/>
      <c r="BX77" s="279"/>
      <c r="BY77" s="279"/>
      <c r="BZ77" s="279"/>
      <c r="CA77" s="279"/>
      <c r="CB77" s="279"/>
      <c r="CC77" s="279"/>
      <c r="CD77" s="279"/>
      <c r="CE77" s="279"/>
      <c r="CF77" s="294"/>
      <c r="CG77" s="294"/>
      <c r="CH77" s="294"/>
      <c r="CI77" s="294"/>
      <c r="CJ77" s="294"/>
      <c r="CK77" s="294"/>
      <c r="CL77" s="294"/>
      <c r="CM77" s="294"/>
      <c r="CN77" s="294"/>
    </row>
    <row r="78" spans="1:92">
      <c r="A78" s="277"/>
      <c r="B78" s="278"/>
      <c r="C78" s="279"/>
      <c r="D78" s="279"/>
      <c r="E78" s="279"/>
      <c r="F78" s="279"/>
      <c r="G78" s="279"/>
      <c r="H78" s="279"/>
      <c r="I78" s="279"/>
      <c r="J78" s="279"/>
      <c r="K78" s="279"/>
      <c r="L78" s="279"/>
      <c r="M78" s="279"/>
      <c r="N78" s="280"/>
      <c r="O78" s="279"/>
      <c r="P78" s="280"/>
      <c r="Q78" s="279"/>
      <c r="R78" s="279"/>
      <c r="S78" s="279"/>
      <c r="T78" s="279"/>
      <c r="U78" s="280"/>
      <c r="V78" s="279"/>
      <c r="W78" s="279"/>
      <c r="X78" s="279"/>
      <c r="Y78" s="279"/>
      <c r="Z78" s="280"/>
      <c r="AA78" s="279"/>
      <c r="AB78" s="279"/>
      <c r="AC78" s="279"/>
      <c r="AD78" s="279"/>
      <c r="AE78" s="279"/>
      <c r="AF78" s="279"/>
      <c r="AG78" s="279"/>
      <c r="AH78" s="279"/>
      <c r="AI78" s="279"/>
      <c r="AJ78" s="279"/>
      <c r="AK78" s="280"/>
      <c r="AL78" s="279"/>
      <c r="AM78" s="279"/>
      <c r="AN78" s="280"/>
      <c r="AO78" s="281"/>
      <c r="AP78" s="280"/>
      <c r="AQ78" s="282"/>
      <c r="AR78" s="283"/>
      <c r="AS78" s="282"/>
      <c r="AT78" s="282"/>
      <c r="AU78" s="283"/>
      <c r="AV78" s="283"/>
      <c r="AW78" s="284"/>
      <c r="AX78" s="285"/>
      <c r="AY78" s="285"/>
      <c r="AZ78" s="285"/>
      <c r="BA78" s="285"/>
      <c r="BB78" s="285"/>
      <c r="BC78" s="285"/>
      <c r="BD78" s="285"/>
      <c r="BE78" s="280"/>
      <c r="BF78" s="284"/>
      <c r="BG78" s="285"/>
      <c r="BH78" s="285"/>
      <c r="BI78" s="285"/>
      <c r="BJ78" s="285"/>
      <c r="BK78" s="285"/>
      <c r="BL78" s="285"/>
      <c r="BM78" s="285"/>
      <c r="BN78" s="280"/>
      <c r="BO78" s="280"/>
      <c r="BP78" s="286"/>
      <c r="BQ78" s="279"/>
      <c r="BR78" s="278"/>
      <c r="BS78" s="279"/>
      <c r="BT78" s="279"/>
      <c r="BU78" s="279"/>
      <c r="BV78" s="279"/>
      <c r="BW78" s="279"/>
      <c r="BX78" s="279"/>
      <c r="BY78" s="279"/>
      <c r="BZ78" s="279"/>
      <c r="CA78" s="279"/>
      <c r="CB78" s="279"/>
      <c r="CC78" s="279"/>
      <c r="CD78" s="279"/>
      <c r="CE78" s="279"/>
      <c r="CF78" s="294"/>
      <c r="CG78" s="294"/>
      <c r="CH78" s="294"/>
      <c r="CI78" s="294"/>
      <c r="CJ78" s="294"/>
      <c r="CK78" s="294"/>
      <c r="CL78" s="294"/>
      <c r="CM78" s="294"/>
      <c r="CN78" s="294"/>
    </row>
    <row r="79" spans="1:92">
      <c r="A79" s="277"/>
      <c r="B79" s="278"/>
      <c r="C79" s="279"/>
      <c r="D79" s="279"/>
      <c r="E79" s="279"/>
      <c r="F79" s="279"/>
      <c r="G79" s="279"/>
      <c r="H79" s="279"/>
      <c r="I79" s="279"/>
      <c r="J79" s="279"/>
      <c r="K79" s="279"/>
      <c r="L79" s="279"/>
      <c r="M79" s="279"/>
      <c r="N79" s="280"/>
      <c r="O79" s="279"/>
      <c r="P79" s="280"/>
      <c r="Q79" s="279"/>
      <c r="R79" s="279"/>
      <c r="S79" s="279"/>
      <c r="T79" s="279"/>
      <c r="U79" s="280"/>
      <c r="V79" s="279"/>
      <c r="W79" s="279"/>
      <c r="X79" s="279"/>
      <c r="Y79" s="279"/>
      <c r="Z79" s="280"/>
      <c r="AA79" s="279"/>
      <c r="AB79" s="279"/>
      <c r="AC79" s="279"/>
      <c r="AD79" s="279"/>
      <c r="AE79" s="279"/>
      <c r="AF79" s="279"/>
      <c r="AG79" s="279"/>
      <c r="AH79" s="279"/>
      <c r="AI79" s="279"/>
      <c r="AJ79" s="279"/>
      <c r="AK79" s="280"/>
      <c r="AL79" s="279"/>
      <c r="AM79" s="279"/>
      <c r="AN79" s="280"/>
      <c r="AO79" s="281"/>
      <c r="AP79" s="280"/>
      <c r="AQ79" s="282"/>
      <c r="AR79" s="283"/>
      <c r="AS79" s="282"/>
      <c r="AT79" s="282"/>
      <c r="AU79" s="283"/>
      <c r="AV79" s="283"/>
      <c r="AW79" s="284"/>
      <c r="AX79" s="285"/>
      <c r="AY79" s="285"/>
      <c r="AZ79" s="285"/>
      <c r="BA79" s="285"/>
      <c r="BB79" s="285"/>
      <c r="BC79" s="285"/>
      <c r="BD79" s="285"/>
      <c r="BE79" s="280"/>
      <c r="BF79" s="284"/>
      <c r="BG79" s="285"/>
      <c r="BH79" s="285"/>
      <c r="BI79" s="285"/>
      <c r="BJ79" s="285"/>
      <c r="BK79" s="285"/>
      <c r="BL79" s="285"/>
      <c r="BM79" s="285"/>
      <c r="BN79" s="280"/>
      <c r="BO79" s="280"/>
      <c r="BP79" s="286"/>
      <c r="BQ79" s="279"/>
      <c r="BR79" s="278"/>
      <c r="BS79" s="279"/>
      <c r="BT79" s="279"/>
      <c r="BU79" s="279"/>
      <c r="BV79" s="279"/>
      <c r="BW79" s="279"/>
      <c r="BX79" s="279"/>
      <c r="BY79" s="279"/>
      <c r="BZ79" s="279"/>
      <c r="CA79" s="279"/>
      <c r="CB79" s="279"/>
      <c r="CC79" s="279"/>
      <c r="CD79" s="279"/>
      <c r="CE79" s="279"/>
      <c r="CF79" s="294"/>
      <c r="CG79" s="294"/>
      <c r="CH79" s="294"/>
      <c r="CI79" s="294"/>
      <c r="CJ79" s="294"/>
      <c r="CK79" s="294"/>
      <c r="CL79" s="294"/>
      <c r="CM79" s="294"/>
      <c r="CN79" s="294"/>
    </row>
    <row r="80" spans="1:92">
      <c r="A80" s="277"/>
      <c r="B80" s="278"/>
      <c r="C80" s="279"/>
      <c r="D80" s="279"/>
      <c r="E80" s="279"/>
      <c r="F80" s="279"/>
      <c r="G80" s="279"/>
      <c r="H80" s="279"/>
      <c r="I80" s="279"/>
      <c r="J80" s="279"/>
      <c r="K80" s="279"/>
      <c r="L80" s="279"/>
      <c r="M80" s="279"/>
      <c r="N80" s="280"/>
      <c r="O80" s="279"/>
      <c r="P80" s="280"/>
      <c r="Q80" s="279"/>
      <c r="R80" s="279"/>
      <c r="S80" s="279"/>
      <c r="T80" s="279"/>
      <c r="U80" s="280"/>
      <c r="V80" s="279"/>
      <c r="W80" s="279"/>
      <c r="X80" s="279"/>
      <c r="Y80" s="279"/>
      <c r="Z80" s="280"/>
      <c r="AA80" s="279"/>
      <c r="AB80" s="279"/>
      <c r="AC80" s="279"/>
      <c r="AD80" s="279"/>
      <c r="AE80" s="279"/>
      <c r="AF80" s="279"/>
      <c r="AG80" s="279"/>
      <c r="AH80" s="279"/>
      <c r="AI80" s="279"/>
      <c r="AJ80" s="279"/>
      <c r="AK80" s="280"/>
      <c r="AL80" s="279"/>
      <c r="AM80" s="279"/>
      <c r="AN80" s="280"/>
      <c r="AO80" s="281"/>
      <c r="AP80" s="280"/>
      <c r="AQ80" s="282"/>
      <c r="AR80" s="283"/>
      <c r="AS80" s="282"/>
      <c r="AT80" s="282"/>
      <c r="AU80" s="283"/>
      <c r="AV80" s="283"/>
      <c r="AW80" s="284"/>
      <c r="AX80" s="285"/>
      <c r="AY80" s="285"/>
      <c r="AZ80" s="285"/>
      <c r="BA80" s="285"/>
      <c r="BB80" s="285"/>
      <c r="BC80" s="285"/>
      <c r="BD80" s="285"/>
      <c r="BE80" s="280"/>
      <c r="BF80" s="284"/>
      <c r="BG80" s="285"/>
      <c r="BH80" s="285"/>
      <c r="BI80" s="285"/>
      <c r="BJ80" s="285"/>
      <c r="BK80" s="285"/>
      <c r="BL80" s="285"/>
      <c r="BM80" s="285"/>
      <c r="BN80" s="280"/>
      <c r="BO80" s="280"/>
      <c r="BP80" s="286"/>
      <c r="BQ80" s="279"/>
      <c r="BR80" s="278"/>
      <c r="BS80" s="279"/>
      <c r="BT80" s="279"/>
      <c r="BU80" s="279"/>
      <c r="BV80" s="279"/>
      <c r="BW80" s="279"/>
      <c r="BX80" s="279"/>
      <c r="BY80" s="279"/>
      <c r="BZ80" s="279"/>
      <c r="CA80" s="279"/>
      <c r="CB80" s="279"/>
      <c r="CC80" s="279"/>
      <c r="CD80" s="279"/>
      <c r="CE80" s="279"/>
      <c r="CF80" s="294"/>
      <c r="CG80" s="294"/>
      <c r="CH80" s="294"/>
      <c r="CI80" s="294"/>
      <c r="CJ80" s="294"/>
      <c r="CK80" s="294"/>
      <c r="CL80" s="294"/>
      <c r="CM80" s="294"/>
      <c r="CN80" s="294"/>
    </row>
    <row r="81" spans="1:92">
      <c r="A81" s="277"/>
      <c r="B81" s="278"/>
      <c r="C81" s="279"/>
      <c r="D81" s="279"/>
      <c r="E81" s="279"/>
      <c r="F81" s="279"/>
      <c r="G81" s="279"/>
      <c r="H81" s="279"/>
      <c r="I81" s="279"/>
      <c r="J81" s="279"/>
      <c r="K81" s="279"/>
      <c r="L81" s="279"/>
      <c r="M81" s="279"/>
      <c r="N81" s="280"/>
      <c r="O81" s="279"/>
      <c r="P81" s="280"/>
      <c r="Q81" s="279"/>
      <c r="R81" s="279"/>
      <c r="S81" s="279"/>
      <c r="T81" s="279"/>
      <c r="U81" s="280"/>
      <c r="V81" s="279"/>
      <c r="W81" s="279"/>
      <c r="X81" s="279"/>
      <c r="Y81" s="279"/>
      <c r="Z81" s="280"/>
      <c r="AA81" s="279"/>
      <c r="AB81" s="279"/>
      <c r="AC81" s="279"/>
      <c r="AD81" s="279"/>
      <c r="AE81" s="279"/>
      <c r="AF81" s="279"/>
      <c r="AG81" s="279"/>
      <c r="AH81" s="279"/>
      <c r="AI81" s="279"/>
      <c r="AJ81" s="279"/>
      <c r="AK81" s="280"/>
      <c r="AL81" s="279"/>
      <c r="AM81" s="279"/>
      <c r="AN81" s="280"/>
      <c r="AO81" s="281"/>
      <c r="AP81" s="280"/>
      <c r="AQ81" s="282"/>
      <c r="AR81" s="283"/>
      <c r="AS81" s="282"/>
      <c r="AT81" s="282"/>
      <c r="AU81" s="283"/>
      <c r="AV81" s="283"/>
      <c r="AW81" s="284"/>
      <c r="AX81" s="285"/>
      <c r="AY81" s="285"/>
      <c r="AZ81" s="285"/>
      <c r="BA81" s="285"/>
      <c r="BB81" s="285"/>
      <c r="BC81" s="285"/>
      <c r="BD81" s="285"/>
      <c r="BE81" s="280"/>
      <c r="BF81" s="284"/>
      <c r="BG81" s="285"/>
      <c r="BH81" s="285"/>
      <c r="BI81" s="285"/>
      <c r="BJ81" s="285"/>
      <c r="BK81" s="285"/>
      <c r="BL81" s="285"/>
      <c r="BM81" s="285"/>
      <c r="BN81" s="280"/>
      <c r="BO81" s="280"/>
      <c r="BP81" s="286"/>
      <c r="BQ81" s="279"/>
      <c r="BR81" s="278"/>
      <c r="BS81" s="279"/>
      <c r="BT81" s="279"/>
      <c r="BU81" s="279"/>
      <c r="BV81" s="279"/>
      <c r="BW81" s="279"/>
      <c r="BX81" s="279"/>
      <c r="BY81" s="279"/>
      <c r="BZ81" s="279"/>
      <c r="CA81" s="279"/>
      <c r="CB81" s="279"/>
      <c r="CC81" s="279"/>
      <c r="CD81" s="279"/>
      <c r="CE81" s="279"/>
      <c r="CF81" s="294"/>
      <c r="CG81" s="294"/>
      <c r="CH81" s="294"/>
      <c r="CI81" s="294"/>
      <c r="CJ81" s="294"/>
      <c r="CK81" s="294"/>
      <c r="CL81" s="294"/>
      <c r="CM81" s="294"/>
      <c r="CN81" s="294"/>
    </row>
    <row r="82" spans="1:92">
      <c r="A82" s="277"/>
      <c r="B82" s="278"/>
      <c r="C82" s="279"/>
      <c r="D82" s="279"/>
      <c r="E82" s="279"/>
      <c r="F82" s="279"/>
      <c r="G82" s="279"/>
      <c r="H82" s="279"/>
      <c r="I82" s="279"/>
      <c r="J82" s="279"/>
      <c r="K82" s="279"/>
      <c r="L82" s="279"/>
      <c r="M82" s="279"/>
      <c r="N82" s="280"/>
      <c r="O82" s="279"/>
      <c r="P82" s="280"/>
      <c r="Q82" s="279"/>
      <c r="R82" s="279"/>
      <c r="S82" s="279"/>
      <c r="T82" s="279"/>
      <c r="U82" s="280"/>
      <c r="V82" s="279"/>
      <c r="W82" s="279"/>
      <c r="X82" s="279"/>
      <c r="Y82" s="279"/>
      <c r="Z82" s="280"/>
      <c r="AA82" s="279"/>
      <c r="AB82" s="279"/>
      <c r="AC82" s="279"/>
      <c r="AD82" s="279"/>
      <c r="AE82" s="279"/>
      <c r="AF82" s="279"/>
      <c r="AG82" s="279"/>
      <c r="AH82" s="279"/>
      <c r="AI82" s="279"/>
      <c r="AJ82" s="279"/>
      <c r="AK82" s="280"/>
      <c r="AL82" s="279"/>
      <c r="AM82" s="279"/>
      <c r="AN82" s="280"/>
      <c r="AO82" s="281"/>
      <c r="AP82" s="280"/>
      <c r="AQ82" s="282"/>
      <c r="AR82" s="283"/>
      <c r="AS82" s="282"/>
      <c r="AT82" s="282"/>
      <c r="AU82" s="283"/>
      <c r="AV82" s="283"/>
      <c r="AW82" s="284"/>
      <c r="AX82" s="285"/>
      <c r="AY82" s="285"/>
      <c r="AZ82" s="285"/>
      <c r="BA82" s="285"/>
      <c r="BB82" s="285"/>
      <c r="BC82" s="285"/>
      <c r="BD82" s="285"/>
      <c r="BE82" s="280"/>
      <c r="BF82" s="284"/>
      <c r="BG82" s="285"/>
      <c r="BH82" s="285"/>
      <c r="BI82" s="285"/>
      <c r="BJ82" s="285"/>
      <c r="BK82" s="285"/>
      <c r="BL82" s="285"/>
      <c r="BM82" s="285"/>
      <c r="BN82" s="280"/>
      <c r="BO82" s="280"/>
      <c r="BP82" s="286"/>
      <c r="BQ82" s="279"/>
      <c r="BR82" s="278"/>
      <c r="BS82" s="279"/>
      <c r="BT82" s="279"/>
      <c r="BU82" s="279"/>
      <c r="BV82" s="279"/>
      <c r="BW82" s="279"/>
      <c r="BX82" s="279"/>
      <c r="BY82" s="279"/>
      <c r="BZ82" s="279"/>
      <c r="CA82" s="279"/>
      <c r="CB82" s="279"/>
      <c r="CC82" s="279"/>
      <c r="CD82" s="279"/>
      <c r="CE82" s="279"/>
      <c r="CF82" s="294"/>
      <c r="CG82" s="294"/>
      <c r="CH82" s="294"/>
      <c r="CI82" s="294"/>
      <c r="CJ82" s="294"/>
      <c r="CK82" s="294"/>
      <c r="CL82" s="294"/>
      <c r="CM82" s="294"/>
      <c r="CN82" s="294"/>
    </row>
    <row r="83" spans="1:92">
      <c r="A83" s="277"/>
      <c r="B83" s="278"/>
      <c r="C83" s="279"/>
      <c r="D83" s="279"/>
      <c r="E83" s="279"/>
      <c r="F83" s="279"/>
      <c r="G83" s="279"/>
      <c r="H83" s="279"/>
      <c r="I83" s="279"/>
      <c r="J83" s="279"/>
      <c r="K83" s="279"/>
      <c r="L83" s="279"/>
      <c r="M83" s="279"/>
      <c r="N83" s="280"/>
      <c r="O83" s="279"/>
      <c r="P83" s="280"/>
      <c r="Q83" s="279"/>
      <c r="R83" s="279"/>
      <c r="S83" s="279"/>
      <c r="T83" s="279"/>
      <c r="U83" s="280"/>
      <c r="V83" s="279"/>
      <c r="W83" s="279"/>
      <c r="X83" s="279"/>
      <c r="Y83" s="279"/>
      <c r="Z83" s="280"/>
      <c r="AA83" s="279"/>
      <c r="AB83" s="279"/>
      <c r="AC83" s="279"/>
      <c r="AD83" s="279"/>
      <c r="AE83" s="279"/>
      <c r="AF83" s="279"/>
      <c r="AG83" s="279"/>
      <c r="AH83" s="279"/>
      <c r="AI83" s="279"/>
      <c r="AJ83" s="279"/>
      <c r="AK83" s="280"/>
      <c r="AL83" s="279"/>
      <c r="AM83" s="279"/>
      <c r="AN83" s="280"/>
      <c r="AO83" s="281"/>
      <c r="AP83" s="280"/>
      <c r="AQ83" s="282"/>
      <c r="AR83" s="283"/>
      <c r="AS83" s="282"/>
      <c r="AT83" s="282"/>
      <c r="AU83" s="283"/>
      <c r="AV83" s="283"/>
      <c r="AW83" s="284"/>
      <c r="AX83" s="285"/>
      <c r="AY83" s="285"/>
      <c r="AZ83" s="285"/>
      <c r="BA83" s="285"/>
      <c r="BB83" s="285"/>
      <c r="BC83" s="285"/>
      <c r="BD83" s="285"/>
      <c r="BE83" s="280"/>
      <c r="BF83" s="284"/>
      <c r="BG83" s="285"/>
      <c r="BH83" s="285"/>
      <c r="BI83" s="285"/>
      <c r="BJ83" s="285"/>
      <c r="BK83" s="285"/>
      <c r="BL83" s="285"/>
      <c r="BM83" s="285"/>
      <c r="BN83" s="280"/>
      <c r="BO83" s="280"/>
      <c r="BP83" s="286"/>
      <c r="BQ83" s="279"/>
      <c r="BR83" s="278"/>
      <c r="BS83" s="279"/>
      <c r="BT83" s="279"/>
      <c r="BU83" s="279"/>
      <c r="BV83" s="279"/>
      <c r="BW83" s="279"/>
      <c r="BX83" s="279"/>
      <c r="BY83" s="279"/>
      <c r="BZ83" s="279"/>
      <c r="CA83" s="279"/>
      <c r="CB83" s="279"/>
      <c r="CC83" s="279"/>
      <c r="CD83" s="279"/>
      <c r="CE83" s="279"/>
      <c r="CF83" s="294"/>
      <c r="CG83" s="294"/>
      <c r="CH83" s="294"/>
      <c r="CI83" s="294"/>
      <c r="CJ83" s="294"/>
      <c r="CK83" s="294"/>
      <c r="CL83" s="294"/>
      <c r="CM83" s="294"/>
      <c r="CN83" s="294"/>
    </row>
    <row r="84" spans="1:92">
      <c r="A84" s="277"/>
      <c r="B84" s="278"/>
      <c r="C84" s="279"/>
      <c r="D84" s="279"/>
      <c r="E84" s="279"/>
      <c r="F84" s="279"/>
      <c r="G84" s="279"/>
      <c r="H84" s="279"/>
      <c r="I84" s="279"/>
      <c r="J84" s="279"/>
      <c r="K84" s="279"/>
      <c r="L84" s="279"/>
      <c r="M84" s="279"/>
      <c r="N84" s="280"/>
      <c r="O84" s="279"/>
      <c r="P84" s="280"/>
      <c r="Q84" s="279"/>
      <c r="R84" s="279"/>
      <c r="S84" s="279"/>
      <c r="T84" s="279"/>
      <c r="U84" s="280"/>
      <c r="V84" s="279"/>
      <c r="W84" s="279"/>
      <c r="X84" s="279"/>
      <c r="Y84" s="279"/>
      <c r="Z84" s="280"/>
      <c r="AA84" s="279"/>
      <c r="AB84" s="279"/>
      <c r="AC84" s="279"/>
      <c r="AD84" s="279"/>
      <c r="AE84" s="279"/>
      <c r="AF84" s="279"/>
      <c r="AG84" s="279"/>
      <c r="AH84" s="279"/>
      <c r="AI84" s="279"/>
      <c r="AJ84" s="279"/>
      <c r="AK84" s="280"/>
      <c r="AL84" s="279"/>
      <c r="AM84" s="279"/>
      <c r="AN84" s="280"/>
      <c r="AO84" s="281"/>
      <c r="AP84" s="280"/>
      <c r="AQ84" s="282"/>
      <c r="AR84" s="283"/>
      <c r="AS84" s="282"/>
      <c r="AT84" s="282"/>
      <c r="AU84" s="283"/>
      <c r="AV84" s="283"/>
      <c r="AW84" s="284"/>
      <c r="AX84" s="285"/>
      <c r="AY84" s="285"/>
      <c r="AZ84" s="285"/>
      <c r="BA84" s="285"/>
      <c r="BB84" s="285"/>
      <c r="BC84" s="285"/>
      <c r="BD84" s="285"/>
      <c r="BE84" s="280"/>
      <c r="BF84" s="284"/>
      <c r="BG84" s="285"/>
      <c r="BH84" s="285"/>
      <c r="BI84" s="285"/>
      <c r="BJ84" s="285"/>
      <c r="BK84" s="285"/>
      <c r="BL84" s="285"/>
      <c r="BM84" s="285"/>
      <c r="BN84" s="280"/>
      <c r="BO84" s="280"/>
      <c r="BP84" s="286"/>
      <c r="BQ84" s="279"/>
      <c r="BR84" s="278"/>
      <c r="BS84" s="279"/>
      <c r="BT84" s="279"/>
      <c r="BU84" s="279"/>
      <c r="BV84" s="279"/>
      <c r="BW84" s="279"/>
      <c r="BX84" s="279"/>
      <c r="BY84" s="279"/>
      <c r="BZ84" s="279"/>
      <c r="CA84" s="279"/>
      <c r="CB84" s="279"/>
      <c r="CC84" s="279"/>
      <c r="CD84" s="279"/>
      <c r="CE84" s="279"/>
      <c r="CF84" s="294"/>
      <c r="CG84" s="294"/>
      <c r="CH84" s="294"/>
      <c r="CI84" s="294"/>
      <c r="CJ84" s="294"/>
      <c r="CK84" s="294"/>
      <c r="CL84" s="294"/>
      <c r="CM84" s="294"/>
      <c r="CN84" s="294"/>
    </row>
    <row r="85" spans="1:92">
      <c r="A85" s="277"/>
      <c r="B85" s="278"/>
      <c r="C85" s="279"/>
      <c r="D85" s="279"/>
      <c r="E85" s="279"/>
      <c r="F85" s="279"/>
      <c r="G85" s="279"/>
      <c r="H85" s="279"/>
      <c r="I85" s="279"/>
      <c r="J85" s="279"/>
      <c r="K85" s="279"/>
      <c r="L85" s="279"/>
      <c r="M85" s="279"/>
      <c r="N85" s="280"/>
      <c r="O85" s="279"/>
      <c r="P85" s="280"/>
      <c r="Q85" s="279"/>
      <c r="R85" s="279"/>
      <c r="S85" s="279"/>
      <c r="T85" s="279"/>
      <c r="U85" s="280"/>
      <c r="V85" s="279"/>
      <c r="W85" s="279"/>
      <c r="X85" s="279"/>
      <c r="Y85" s="279"/>
      <c r="Z85" s="280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280"/>
      <c r="AL85" s="279"/>
      <c r="AM85" s="279"/>
      <c r="AN85" s="280"/>
      <c r="AO85" s="281"/>
      <c r="AP85" s="280"/>
      <c r="AQ85" s="282"/>
      <c r="AR85" s="283"/>
      <c r="AS85" s="282"/>
      <c r="AT85" s="282"/>
      <c r="AU85" s="283"/>
      <c r="AV85" s="283"/>
      <c r="AW85" s="284"/>
      <c r="AX85" s="285"/>
      <c r="AY85" s="285"/>
      <c r="AZ85" s="285"/>
      <c r="BA85" s="285"/>
      <c r="BB85" s="285"/>
      <c r="BC85" s="285"/>
      <c r="BD85" s="285"/>
      <c r="BE85" s="280"/>
      <c r="BF85" s="284"/>
      <c r="BG85" s="285"/>
      <c r="BH85" s="285"/>
      <c r="BI85" s="285"/>
      <c r="BJ85" s="285"/>
      <c r="BK85" s="285"/>
      <c r="BL85" s="285"/>
      <c r="BM85" s="285"/>
      <c r="BN85" s="280"/>
      <c r="BO85" s="280"/>
      <c r="BP85" s="286"/>
      <c r="BQ85" s="279"/>
      <c r="BR85" s="278"/>
      <c r="BS85" s="279"/>
      <c r="BT85" s="279"/>
      <c r="BU85" s="279"/>
      <c r="BV85" s="279"/>
      <c r="BW85" s="279"/>
      <c r="BX85" s="279"/>
      <c r="BY85" s="279"/>
      <c r="BZ85" s="279"/>
      <c r="CA85" s="279"/>
      <c r="CB85" s="279"/>
      <c r="CC85" s="279"/>
      <c r="CD85" s="279"/>
      <c r="CE85" s="279"/>
      <c r="CF85" s="294"/>
      <c r="CG85" s="294"/>
      <c r="CH85" s="294"/>
      <c r="CI85" s="294"/>
      <c r="CJ85" s="294"/>
      <c r="CK85" s="294"/>
      <c r="CL85" s="294"/>
      <c r="CM85" s="294"/>
      <c r="CN85" s="294"/>
    </row>
    <row r="86" spans="1:92">
      <c r="A86" s="277"/>
      <c r="B86" s="278"/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279"/>
      <c r="N86" s="280"/>
      <c r="O86" s="279"/>
      <c r="P86" s="280"/>
      <c r="Q86" s="279"/>
      <c r="R86" s="279"/>
      <c r="S86" s="279"/>
      <c r="T86" s="279"/>
      <c r="U86" s="280"/>
      <c r="V86" s="279"/>
      <c r="W86" s="279"/>
      <c r="X86" s="279"/>
      <c r="Y86" s="279"/>
      <c r="Z86" s="280"/>
      <c r="AA86" s="279"/>
      <c r="AB86" s="279"/>
      <c r="AC86" s="279"/>
      <c r="AD86" s="279"/>
      <c r="AE86" s="279"/>
      <c r="AF86" s="279"/>
      <c r="AG86" s="279"/>
      <c r="AH86" s="279"/>
      <c r="AI86" s="279"/>
      <c r="AJ86" s="279"/>
      <c r="AK86" s="280"/>
      <c r="AL86" s="279"/>
      <c r="AM86" s="279"/>
      <c r="AN86" s="280"/>
      <c r="AO86" s="281"/>
      <c r="AP86" s="280"/>
      <c r="AQ86" s="282"/>
      <c r="AR86" s="283"/>
      <c r="AS86" s="282"/>
      <c r="AT86" s="282"/>
      <c r="AU86" s="283"/>
      <c r="AV86" s="283"/>
      <c r="AW86" s="284"/>
      <c r="AX86" s="285"/>
      <c r="AY86" s="285"/>
      <c r="AZ86" s="285"/>
      <c r="BA86" s="285"/>
      <c r="BB86" s="285"/>
      <c r="BC86" s="285"/>
      <c r="BD86" s="285"/>
      <c r="BE86" s="280"/>
      <c r="BF86" s="284"/>
      <c r="BG86" s="285"/>
      <c r="BH86" s="285"/>
      <c r="BI86" s="285"/>
      <c r="BJ86" s="285"/>
      <c r="BK86" s="285"/>
      <c r="BL86" s="285"/>
      <c r="BM86" s="285"/>
      <c r="BN86" s="280"/>
      <c r="BO86" s="280"/>
      <c r="BP86" s="286"/>
      <c r="BQ86" s="279"/>
      <c r="BR86" s="278"/>
      <c r="BS86" s="279"/>
      <c r="BT86" s="279"/>
      <c r="BU86" s="279"/>
      <c r="BV86" s="279"/>
      <c r="BW86" s="279"/>
      <c r="BX86" s="279"/>
      <c r="BY86" s="279"/>
      <c r="BZ86" s="279"/>
      <c r="CA86" s="279"/>
      <c r="CB86" s="279"/>
      <c r="CC86" s="279"/>
      <c r="CD86" s="279"/>
      <c r="CE86" s="279"/>
      <c r="CF86" s="294"/>
      <c r="CG86" s="294"/>
      <c r="CH86" s="294"/>
      <c r="CI86" s="294"/>
      <c r="CJ86" s="294"/>
      <c r="CK86" s="294"/>
      <c r="CL86" s="294"/>
      <c r="CM86" s="294"/>
      <c r="CN86" s="294"/>
    </row>
    <row r="87" spans="1:92">
      <c r="A87" s="277"/>
      <c r="B87" s="278"/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80"/>
      <c r="O87" s="279"/>
      <c r="P87" s="280"/>
      <c r="Q87" s="279"/>
      <c r="R87" s="279"/>
      <c r="S87" s="279"/>
      <c r="T87" s="279"/>
      <c r="U87" s="280"/>
      <c r="V87" s="279"/>
      <c r="W87" s="279"/>
      <c r="X87" s="279"/>
      <c r="Y87" s="279"/>
      <c r="Z87" s="280"/>
      <c r="AA87" s="279"/>
      <c r="AB87" s="279"/>
      <c r="AC87" s="279"/>
      <c r="AD87" s="279"/>
      <c r="AE87" s="279"/>
      <c r="AF87" s="279"/>
      <c r="AG87" s="279"/>
      <c r="AH87" s="279"/>
      <c r="AI87" s="279"/>
      <c r="AJ87" s="279"/>
      <c r="AK87" s="280"/>
      <c r="AL87" s="279"/>
      <c r="AM87" s="279"/>
      <c r="AN87" s="280"/>
      <c r="AO87" s="281"/>
      <c r="AP87" s="280"/>
      <c r="AQ87" s="282"/>
      <c r="AR87" s="283"/>
      <c r="AS87" s="282"/>
      <c r="AT87" s="282"/>
      <c r="AU87" s="283"/>
      <c r="AV87" s="283"/>
      <c r="AW87" s="284"/>
      <c r="AX87" s="285"/>
      <c r="AY87" s="285"/>
      <c r="AZ87" s="285"/>
      <c r="BA87" s="285"/>
      <c r="BB87" s="285"/>
      <c r="BC87" s="285"/>
      <c r="BD87" s="285"/>
      <c r="BE87" s="280"/>
      <c r="BF87" s="284"/>
      <c r="BG87" s="285"/>
      <c r="BH87" s="285"/>
      <c r="BI87" s="285"/>
      <c r="BJ87" s="285"/>
      <c r="BK87" s="285"/>
      <c r="BL87" s="285"/>
      <c r="BM87" s="285"/>
      <c r="BN87" s="280"/>
      <c r="BO87" s="280"/>
      <c r="BP87" s="286"/>
      <c r="BQ87" s="279"/>
      <c r="BR87" s="278"/>
      <c r="BS87" s="279"/>
      <c r="BT87" s="279"/>
      <c r="BU87" s="279"/>
      <c r="BV87" s="279"/>
      <c r="BW87" s="279"/>
      <c r="BX87" s="279"/>
      <c r="BY87" s="279"/>
      <c r="BZ87" s="279"/>
      <c r="CA87" s="279"/>
      <c r="CB87" s="279"/>
      <c r="CC87" s="279"/>
      <c r="CD87" s="279"/>
      <c r="CE87" s="279"/>
      <c r="CF87" s="294"/>
      <c r="CG87" s="294"/>
      <c r="CH87" s="294"/>
      <c r="CI87" s="294"/>
      <c r="CJ87" s="294"/>
      <c r="CK87" s="294"/>
      <c r="CL87" s="294"/>
      <c r="CM87" s="294"/>
      <c r="CN87" s="294"/>
    </row>
    <row r="88" spans="1:92">
      <c r="A88" s="277"/>
      <c r="B88" s="278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M88" s="279"/>
      <c r="N88" s="280"/>
      <c r="O88" s="279"/>
      <c r="P88" s="280"/>
      <c r="Q88" s="279"/>
      <c r="R88" s="279"/>
      <c r="S88" s="279"/>
      <c r="T88" s="279"/>
      <c r="U88" s="280"/>
      <c r="V88" s="279"/>
      <c r="W88" s="279"/>
      <c r="X88" s="279"/>
      <c r="Y88" s="279"/>
      <c r="Z88" s="280"/>
      <c r="AA88" s="279"/>
      <c r="AB88" s="279"/>
      <c r="AC88" s="279"/>
      <c r="AD88" s="279"/>
      <c r="AE88" s="279"/>
      <c r="AF88" s="279"/>
      <c r="AG88" s="279"/>
      <c r="AH88" s="279"/>
      <c r="AI88" s="279"/>
      <c r="AJ88" s="279"/>
      <c r="AK88" s="280"/>
      <c r="AL88" s="279"/>
      <c r="AM88" s="279"/>
      <c r="AN88" s="280"/>
      <c r="AO88" s="281"/>
      <c r="AP88" s="280"/>
      <c r="AQ88" s="282"/>
      <c r="AR88" s="283"/>
      <c r="AS88" s="282"/>
      <c r="AT88" s="282"/>
      <c r="AU88" s="283"/>
      <c r="AV88" s="283"/>
      <c r="AW88" s="284"/>
      <c r="AX88" s="285"/>
      <c r="AY88" s="285"/>
      <c r="AZ88" s="285"/>
      <c r="BA88" s="285"/>
      <c r="BB88" s="285"/>
      <c r="BC88" s="285"/>
      <c r="BD88" s="285"/>
      <c r="BE88" s="280"/>
      <c r="BF88" s="284"/>
      <c r="BG88" s="285"/>
      <c r="BH88" s="285"/>
      <c r="BI88" s="285"/>
      <c r="BJ88" s="285"/>
      <c r="BK88" s="285"/>
      <c r="BL88" s="285"/>
      <c r="BM88" s="285"/>
      <c r="BN88" s="280"/>
      <c r="BO88" s="280"/>
      <c r="BP88" s="286"/>
      <c r="BQ88" s="279"/>
      <c r="BR88" s="278"/>
      <c r="BS88" s="279"/>
      <c r="BT88" s="279"/>
      <c r="BU88" s="279"/>
      <c r="BV88" s="279"/>
      <c r="BW88" s="279"/>
      <c r="BX88" s="279"/>
      <c r="BY88" s="279"/>
      <c r="BZ88" s="279"/>
      <c r="CA88" s="279"/>
      <c r="CB88" s="279"/>
      <c r="CC88" s="279"/>
      <c r="CD88" s="279"/>
      <c r="CE88" s="279"/>
      <c r="CF88" s="294"/>
      <c r="CG88" s="294"/>
      <c r="CH88" s="294"/>
      <c r="CI88" s="294"/>
      <c r="CJ88" s="294"/>
      <c r="CK88" s="294"/>
      <c r="CL88" s="294"/>
      <c r="CM88" s="294"/>
      <c r="CN88" s="294"/>
    </row>
    <row r="89" spans="1:92">
      <c r="A89" s="277"/>
      <c r="B89" s="278"/>
      <c r="C89" s="279"/>
      <c r="D89" s="279"/>
      <c r="E89" s="279"/>
      <c r="F89" s="279"/>
      <c r="G89" s="279"/>
      <c r="H89" s="279"/>
      <c r="I89" s="279"/>
      <c r="J89" s="279"/>
      <c r="K89" s="279"/>
      <c r="L89" s="279"/>
      <c r="M89" s="279"/>
      <c r="N89" s="280"/>
      <c r="O89" s="279"/>
      <c r="P89" s="280"/>
      <c r="Q89" s="279"/>
      <c r="R89" s="279"/>
      <c r="S89" s="279"/>
      <c r="T89" s="279"/>
      <c r="U89" s="280"/>
      <c r="V89" s="279"/>
      <c r="W89" s="279"/>
      <c r="X89" s="279"/>
      <c r="Y89" s="279"/>
      <c r="Z89" s="280"/>
      <c r="AA89" s="279"/>
      <c r="AB89" s="279"/>
      <c r="AC89" s="279"/>
      <c r="AD89" s="279"/>
      <c r="AE89" s="279"/>
      <c r="AF89" s="279"/>
      <c r="AG89" s="279"/>
      <c r="AH89" s="279"/>
      <c r="AI89" s="279"/>
      <c r="AJ89" s="279"/>
      <c r="AK89" s="280"/>
      <c r="AL89" s="279"/>
      <c r="AM89" s="279"/>
      <c r="AN89" s="280"/>
      <c r="AO89" s="279"/>
      <c r="AP89" s="280"/>
      <c r="AQ89" s="279"/>
      <c r="AR89" s="285"/>
      <c r="AS89" s="279"/>
      <c r="AT89" s="279"/>
      <c r="AU89" s="279"/>
      <c r="AV89" s="279"/>
      <c r="AW89" s="284"/>
      <c r="AX89" s="285"/>
      <c r="AY89" s="285"/>
      <c r="AZ89" s="285"/>
      <c r="BA89" s="285"/>
      <c r="BB89" s="285"/>
      <c r="BC89" s="285"/>
      <c r="BD89" s="285"/>
      <c r="BE89" s="280"/>
      <c r="BF89" s="284"/>
      <c r="BG89" s="285"/>
      <c r="BH89" s="285"/>
      <c r="BI89" s="285"/>
      <c r="BJ89" s="285"/>
      <c r="BK89" s="285"/>
      <c r="BL89" s="285"/>
      <c r="BM89" s="285"/>
      <c r="BN89" s="280"/>
      <c r="BO89" s="279"/>
      <c r="BP89" s="279"/>
      <c r="BQ89" s="279"/>
      <c r="BR89" s="278"/>
      <c r="BS89" s="279"/>
      <c r="BT89" s="279"/>
      <c r="BU89" s="279"/>
      <c r="BV89" s="279"/>
      <c r="BW89" s="279"/>
      <c r="BX89" s="279"/>
      <c r="BY89" s="279"/>
      <c r="BZ89" s="279"/>
      <c r="CA89" s="279"/>
      <c r="CB89" s="279"/>
      <c r="CC89" s="279"/>
      <c r="CD89" s="279"/>
      <c r="CE89" s="279"/>
    </row>
    <row r="90" spans="1:92">
      <c r="A90" s="278"/>
      <c r="B90" s="278"/>
      <c r="C90" s="279"/>
      <c r="D90" s="279"/>
      <c r="E90" s="279"/>
      <c r="F90" s="279"/>
      <c r="G90" s="279"/>
      <c r="H90" s="279"/>
      <c r="I90" s="279"/>
      <c r="J90" s="279"/>
      <c r="K90" s="279"/>
      <c r="L90" s="279"/>
      <c r="M90" s="279"/>
      <c r="N90" s="280"/>
      <c r="O90" s="279"/>
      <c r="P90" s="280"/>
      <c r="Q90" s="279"/>
      <c r="R90" s="279"/>
      <c r="S90" s="279"/>
      <c r="T90" s="279"/>
      <c r="U90" s="280"/>
      <c r="V90" s="279"/>
      <c r="W90" s="279"/>
      <c r="X90" s="279"/>
      <c r="Y90" s="279"/>
      <c r="Z90" s="280"/>
      <c r="AA90" s="279"/>
      <c r="AB90" s="279"/>
      <c r="AC90" s="279"/>
      <c r="AD90" s="279"/>
      <c r="AE90" s="279"/>
      <c r="AF90" s="279"/>
      <c r="AG90" s="279"/>
      <c r="AH90" s="279"/>
      <c r="AI90" s="279"/>
      <c r="AJ90" s="279"/>
      <c r="AK90" s="280"/>
      <c r="AL90" s="279"/>
      <c r="AM90" s="279"/>
      <c r="AN90" s="280"/>
      <c r="AO90" s="279"/>
      <c r="AP90" s="280"/>
      <c r="AQ90" s="279"/>
      <c r="AR90" s="285"/>
      <c r="AS90" s="279"/>
      <c r="AT90" s="279"/>
      <c r="AU90" s="279"/>
      <c r="AV90" s="279"/>
      <c r="AW90" s="284"/>
      <c r="AX90" s="285"/>
      <c r="AY90" s="285"/>
      <c r="AZ90" s="285"/>
      <c r="BA90" s="285"/>
      <c r="BB90" s="285"/>
      <c r="BC90" s="285"/>
      <c r="BD90" s="285"/>
      <c r="BE90" s="280"/>
      <c r="BF90" s="284"/>
      <c r="BG90" s="285"/>
      <c r="BH90" s="285"/>
      <c r="BI90" s="285"/>
      <c r="BJ90" s="285"/>
      <c r="BK90" s="285"/>
      <c r="BL90" s="285"/>
      <c r="BM90" s="285"/>
      <c r="BN90" s="280"/>
      <c r="BO90" s="279"/>
      <c r="BP90" s="279"/>
      <c r="BQ90" s="279"/>
      <c r="BR90" s="278"/>
      <c r="BS90" s="279"/>
      <c r="BT90" s="279"/>
      <c r="BU90" s="279"/>
      <c r="BV90" s="279"/>
      <c r="BW90" s="279"/>
      <c r="BX90" s="279"/>
      <c r="BY90" s="279"/>
      <c r="BZ90" s="279"/>
      <c r="CA90" s="279"/>
      <c r="CB90" s="279"/>
      <c r="CC90" s="279"/>
      <c r="CD90" s="279"/>
      <c r="CE90" s="279"/>
    </row>
    <row r="91" spans="1:92">
      <c r="A91" s="278"/>
      <c r="B91" s="278"/>
      <c r="C91" s="279"/>
      <c r="D91" s="279"/>
      <c r="E91" s="279"/>
      <c r="F91" s="279"/>
      <c r="G91" s="279"/>
      <c r="H91" s="279"/>
      <c r="I91" s="279"/>
      <c r="J91" s="279"/>
      <c r="K91" s="279"/>
      <c r="L91" s="279"/>
      <c r="M91" s="279"/>
      <c r="N91" s="280"/>
      <c r="O91" s="279"/>
      <c r="P91" s="280"/>
      <c r="Q91" s="279"/>
      <c r="R91" s="279"/>
      <c r="S91" s="279"/>
      <c r="T91" s="279"/>
      <c r="U91" s="280"/>
      <c r="V91" s="279"/>
      <c r="W91" s="279"/>
      <c r="X91" s="279"/>
      <c r="Y91" s="279"/>
      <c r="Z91" s="280"/>
      <c r="AA91" s="279"/>
      <c r="AB91" s="279"/>
      <c r="AC91" s="279"/>
      <c r="AD91" s="279"/>
      <c r="AE91" s="279"/>
      <c r="AF91" s="279"/>
      <c r="AG91" s="279"/>
      <c r="AH91" s="279"/>
      <c r="AI91" s="279"/>
      <c r="AJ91" s="279"/>
      <c r="AK91" s="280"/>
      <c r="AL91" s="279"/>
      <c r="AM91" s="279"/>
      <c r="AN91" s="280"/>
      <c r="AO91" s="279"/>
      <c r="AP91" s="280"/>
      <c r="AQ91" s="279"/>
      <c r="AR91" s="285"/>
      <c r="AS91" s="279"/>
      <c r="AT91" s="279"/>
      <c r="AU91" s="279"/>
      <c r="AV91" s="279"/>
      <c r="AW91" s="284"/>
      <c r="AX91" s="285"/>
      <c r="AY91" s="285"/>
      <c r="AZ91" s="285"/>
      <c r="BA91" s="285"/>
      <c r="BB91" s="285"/>
      <c r="BC91" s="285"/>
      <c r="BD91" s="285"/>
      <c r="BE91" s="280"/>
      <c r="BF91" s="284"/>
      <c r="BG91" s="285"/>
      <c r="BH91" s="285"/>
      <c r="BI91" s="285"/>
      <c r="BJ91" s="285"/>
      <c r="BK91" s="285"/>
      <c r="BL91" s="285"/>
      <c r="BM91" s="285"/>
      <c r="BN91" s="280"/>
      <c r="BO91" s="279"/>
      <c r="BP91" s="279"/>
      <c r="BQ91" s="279"/>
      <c r="BR91" s="278"/>
      <c r="BS91" s="279"/>
      <c r="BT91" s="279"/>
      <c r="BU91" s="279"/>
      <c r="BV91" s="279"/>
      <c r="BW91" s="279"/>
      <c r="BX91" s="279"/>
      <c r="BY91" s="279"/>
      <c r="BZ91" s="279"/>
      <c r="CA91" s="279"/>
      <c r="CB91" s="279"/>
      <c r="CC91" s="279"/>
      <c r="CD91" s="279"/>
      <c r="CE91" s="279"/>
    </row>
    <row r="92" spans="1:92">
      <c r="A92" s="278"/>
      <c r="B92" s="278"/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M92" s="279"/>
      <c r="N92" s="280"/>
      <c r="O92" s="279"/>
      <c r="P92" s="280"/>
      <c r="Q92" s="279"/>
      <c r="R92" s="279"/>
      <c r="S92" s="279"/>
      <c r="T92" s="279"/>
      <c r="U92" s="280"/>
      <c r="V92" s="279"/>
      <c r="W92" s="279"/>
      <c r="X92" s="279"/>
      <c r="Y92" s="279"/>
      <c r="Z92" s="280"/>
      <c r="AA92" s="279"/>
      <c r="AB92" s="279"/>
      <c r="AC92" s="279"/>
      <c r="AD92" s="279"/>
      <c r="AE92" s="279"/>
      <c r="AF92" s="279"/>
      <c r="AG92" s="279"/>
      <c r="AH92" s="279"/>
      <c r="AI92" s="279"/>
      <c r="AJ92" s="279"/>
      <c r="AK92" s="280"/>
      <c r="AL92" s="279"/>
      <c r="AM92" s="279"/>
      <c r="AN92" s="280"/>
      <c r="AO92" s="279"/>
      <c r="AP92" s="280"/>
      <c r="AQ92" s="279"/>
      <c r="AR92" s="285"/>
      <c r="AS92" s="279"/>
      <c r="AT92" s="279"/>
      <c r="AU92" s="279"/>
      <c r="AV92" s="279"/>
      <c r="AW92" s="284"/>
      <c r="AX92" s="285"/>
      <c r="AY92" s="285"/>
      <c r="AZ92" s="285"/>
      <c r="BA92" s="285"/>
      <c r="BB92" s="285"/>
      <c r="BC92" s="285"/>
      <c r="BD92" s="285"/>
      <c r="BE92" s="280"/>
      <c r="BF92" s="284"/>
      <c r="BG92" s="285"/>
      <c r="BH92" s="285"/>
      <c r="BI92" s="285"/>
      <c r="BJ92" s="285"/>
      <c r="BK92" s="285"/>
      <c r="BL92" s="285"/>
      <c r="BM92" s="285"/>
      <c r="BN92" s="280"/>
      <c r="BO92" s="279"/>
      <c r="BP92" s="279"/>
      <c r="BQ92" s="279"/>
      <c r="BR92" s="278"/>
      <c r="BS92" s="279"/>
      <c r="BT92" s="279"/>
      <c r="BU92" s="279"/>
      <c r="BV92" s="279"/>
      <c r="BW92" s="279"/>
      <c r="BX92" s="279"/>
      <c r="BY92" s="279"/>
      <c r="BZ92" s="279"/>
      <c r="CA92" s="279"/>
      <c r="CB92" s="279"/>
      <c r="CC92" s="279"/>
      <c r="CD92" s="279"/>
      <c r="CE92" s="279"/>
    </row>
    <row r="93" spans="1:92">
      <c r="A93" s="278"/>
      <c r="B93" s="278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M93" s="279"/>
      <c r="N93" s="280"/>
      <c r="O93" s="279"/>
      <c r="P93" s="280"/>
      <c r="Q93" s="279"/>
      <c r="R93" s="279"/>
      <c r="S93" s="279"/>
      <c r="T93" s="279"/>
      <c r="U93" s="280"/>
      <c r="V93" s="279"/>
      <c r="W93" s="279"/>
      <c r="X93" s="279"/>
      <c r="Y93" s="279"/>
      <c r="Z93" s="280"/>
      <c r="AA93" s="279"/>
      <c r="AB93" s="279"/>
      <c r="AC93" s="279"/>
      <c r="AD93" s="279"/>
      <c r="AE93" s="279"/>
      <c r="AF93" s="279"/>
      <c r="AG93" s="279"/>
      <c r="AH93" s="279"/>
      <c r="AI93" s="279"/>
      <c r="AJ93" s="279"/>
      <c r="AK93" s="280"/>
      <c r="AL93" s="279"/>
      <c r="AM93" s="279"/>
      <c r="AN93" s="280"/>
      <c r="AO93" s="279"/>
      <c r="AP93" s="280"/>
      <c r="AQ93" s="279"/>
      <c r="AR93" s="285"/>
      <c r="AS93" s="279"/>
      <c r="AT93" s="279"/>
      <c r="AU93" s="279"/>
      <c r="AV93" s="279"/>
      <c r="AW93" s="284"/>
      <c r="AX93" s="285"/>
      <c r="AY93" s="285"/>
      <c r="AZ93" s="285"/>
      <c r="BA93" s="285"/>
      <c r="BB93" s="285"/>
      <c r="BC93" s="285"/>
      <c r="BD93" s="285"/>
      <c r="BE93" s="280"/>
      <c r="BF93" s="284"/>
      <c r="BG93" s="285"/>
      <c r="BH93" s="285"/>
      <c r="BI93" s="285"/>
      <c r="BJ93" s="285"/>
      <c r="BK93" s="285"/>
      <c r="BL93" s="285"/>
      <c r="BM93" s="285"/>
      <c r="BN93" s="280"/>
      <c r="BO93" s="279"/>
      <c r="BP93" s="279"/>
      <c r="BQ93" s="279"/>
      <c r="BR93" s="278"/>
      <c r="BS93" s="279"/>
      <c r="BT93" s="279"/>
      <c r="BU93" s="279"/>
      <c r="BV93" s="279"/>
      <c r="BW93" s="279"/>
      <c r="BX93" s="279"/>
      <c r="BY93" s="279"/>
      <c r="BZ93" s="279"/>
      <c r="CA93" s="279"/>
      <c r="CB93" s="279"/>
      <c r="CC93" s="279"/>
      <c r="CD93" s="279"/>
      <c r="CE93" s="279"/>
    </row>
    <row r="94" spans="1:92">
      <c r="A94" s="278"/>
      <c r="B94" s="278"/>
      <c r="C94" s="279"/>
      <c r="D94" s="279"/>
      <c r="E94" s="279"/>
      <c r="F94" s="279"/>
      <c r="G94" s="279"/>
      <c r="H94" s="279"/>
      <c r="I94" s="279"/>
      <c r="J94" s="279"/>
      <c r="K94" s="279"/>
      <c r="L94" s="279"/>
      <c r="M94" s="279"/>
      <c r="N94" s="280"/>
      <c r="O94" s="279"/>
      <c r="P94" s="280"/>
      <c r="Q94" s="279"/>
      <c r="R94" s="279"/>
      <c r="S94" s="279"/>
      <c r="T94" s="279"/>
      <c r="U94" s="280"/>
      <c r="V94" s="279"/>
      <c r="W94" s="279"/>
      <c r="X94" s="279"/>
      <c r="Y94" s="279"/>
      <c r="Z94" s="280"/>
      <c r="AA94" s="279"/>
      <c r="AB94" s="279"/>
      <c r="AC94" s="279"/>
      <c r="AD94" s="279"/>
      <c r="AE94" s="279"/>
      <c r="AF94" s="279"/>
      <c r="AG94" s="279"/>
      <c r="AH94" s="279"/>
      <c r="AI94" s="279"/>
      <c r="AJ94" s="279"/>
      <c r="AK94" s="280"/>
      <c r="AL94" s="279"/>
      <c r="AM94" s="279"/>
      <c r="AN94" s="280"/>
      <c r="AO94" s="279"/>
      <c r="AP94" s="280"/>
      <c r="AQ94" s="279"/>
      <c r="AR94" s="285"/>
      <c r="AS94" s="279"/>
      <c r="AT94" s="279"/>
      <c r="AU94" s="279"/>
      <c r="AV94" s="279"/>
      <c r="AW94" s="284"/>
      <c r="AX94" s="285"/>
      <c r="AY94" s="285"/>
      <c r="AZ94" s="285"/>
      <c r="BA94" s="285"/>
      <c r="BB94" s="285"/>
      <c r="BC94" s="285"/>
      <c r="BD94" s="285"/>
      <c r="BE94" s="280"/>
      <c r="BF94" s="284"/>
      <c r="BG94" s="285"/>
      <c r="BH94" s="285"/>
      <c r="BI94" s="285"/>
      <c r="BJ94" s="285"/>
      <c r="BK94" s="285"/>
      <c r="BL94" s="285"/>
      <c r="BM94" s="285"/>
      <c r="BN94" s="280"/>
      <c r="BO94" s="279"/>
      <c r="BP94" s="279"/>
      <c r="BQ94" s="279"/>
      <c r="BR94" s="278"/>
      <c r="BS94" s="279"/>
      <c r="BT94" s="279"/>
      <c r="BU94" s="279"/>
      <c r="BV94" s="279"/>
      <c r="BW94" s="279"/>
      <c r="BX94" s="279"/>
      <c r="BY94" s="279"/>
      <c r="BZ94" s="279"/>
      <c r="CA94" s="279"/>
      <c r="CB94" s="279"/>
      <c r="CC94" s="279"/>
      <c r="CD94" s="279"/>
      <c r="CE94" s="279"/>
    </row>
    <row r="95" spans="1:92">
      <c r="A95" s="278"/>
      <c r="B95" s="278"/>
      <c r="C95" s="279"/>
      <c r="D95" s="279"/>
      <c r="E95" s="279"/>
      <c r="F95" s="279"/>
      <c r="G95" s="279"/>
      <c r="H95" s="279"/>
      <c r="I95" s="279"/>
      <c r="J95" s="279"/>
      <c r="K95" s="279"/>
      <c r="L95" s="279"/>
      <c r="M95" s="279"/>
      <c r="N95" s="280"/>
      <c r="O95" s="279"/>
      <c r="P95" s="280"/>
      <c r="Q95" s="279"/>
      <c r="R95" s="279"/>
      <c r="S95" s="279"/>
      <c r="T95" s="279"/>
      <c r="U95" s="280"/>
      <c r="V95" s="279"/>
      <c r="W95" s="279"/>
      <c r="X95" s="279"/>
      <c r="Y95" s="279"/>
      <c r="Z95" s="280"/>
      <c r="AA95" s="279"/>
      <c r="AB95" s="279"/>
      <c r="AC95" s="279"/>
      <c r="AD95" s="279"/>
      <c r="AE95" s="279"/>
      <c r="AF95" s="279"/>
      <c r="AG95" s="279"/>
      <c r="AH95" s="279"/>
      <c r="AI95" s="279"/>
      <c r="AJ95" s="279"/>
      <c r="AK95" s="280"/>
      <c r="AL95" s="279"/>
      <c r="AM95" s="279"/>
      <c r="AN95" s="280"/>
      <c r="AO95" s="279"/>
      <c r="AP95" s="280"/>
      <c r="AQ95" s="279"/>
      <c r="AR95" s="285"/>
      <c r="AS95" s="279"/>
      <c r="AT95" s="279"/>
      <c r="AU95" s="279"/>
      <c r="AV95" s="279"/>
      <c r="AW95" s="284"/>
      <c r="AX95" s="285"/>
      <c r="AY95" s="285"/>
      <c r="AZ95" s="285"/>
      <c r="BA95" s="285"/>
      <c r="BB95" s="285"/>
      <c r="BC95" s="285"/>
      <c r="BD95" s="285"/>
      <c r="BE95" s="280"/>
      <c r="BF95" s="284"/>
      <c r="BG95" s="285"/>
      <c r="BH95" s="285"/>
      <c r="BI95" s="285"/>
      <c r="BJ95" s="285"/>
      <c r="BK95" s="285"/>
      <c r="BL95" s="285"/>
      <c r="BM95" s="285"/>
      <c r="BN95" s="280"/>
      <c r="BO95" s="279"/>
      <c r="BP95" s="279"/>
      <c r="BQ95" s="279"/>
      <c r="BR95" s="278"/>
      <c r="BS95" s="279"/>
      <c r="BT95" s="279"/>
      <c r="BU95" s="279"/>
      <c r="BV95" s="279"/>
      <c r="BW95" s="279"/>
      <c r="BX95" s="279"/>
      <c r="BY95" s="279"/>
      <c r="BZ95" s="279"/>
      <c r="CA95" s="279"/>
      <c r="CB95" s="279"/>
      <c r="CC95" s="279"/>
      <c r="CD95" s="279"/>
      <c r="CE95" s="279"/>
    </row>
    <row r="96" spans="1:92">
      <c r="A96" s="278"/>
      <c r="B96" s="278"/>
      <c r="C96" s="279"/>
      <c r="D96" s="279"/>
      <c r="E96" s="279"/>
      <c r="F96" s="279"/>
      <c r="G96" s="279"/>
      <c r="H96" s="279"/>
      <c r="I96" s="279"/>
      <c r="J96" s="279"/>
      <c r="K96" s="279"/>
      <c r="L96" s="279"/>
      <c r="M96" s="279"/>
      <c r="N96" s="280"/>
      <c r="O96" s="279"/>
      <c r="P96" s="280"/>
      <c r="Q96" s="279"/>
      <c r="R96" s="279"/>
      <c r="S96" s="279"/>
      <c r="T96" s="279"/>
      <c r="U96" s="280"/>
      <c r="V96" s="279"/>
      <c r="W96" s="279"/>
      <c r="X96" s="279"/>
      <c r="Y96" s="279"/>
      <c r="Z96" s="280"/>
      <c r="AA96" s="279"/>
      <c r="AB96" s="279"/>
      <c r="AC96" s="279"/>
      <c r="AD96" s="279"/>
      <c r="AE96" s="279"/>
      <c r="AF96" s="279"/>
      <c r="AG96" s="279"/>
      <c r="AH96" s="279"/>
      <c r="AI96" s="279"/>
      <c r="AJ96" s="279"/>
      <c r="AK96" s="280"/>
      <c r="AL96" s="279"/>
      <c r="AM96" s="279"/>
      <c r="AN96" s="280"/>
      <c r="AO96" s="279"/>
      <c r="AP96" s="280"/>
      <c r="AQ96" s="279"/>
      <c r="AR96" s="285"/>
      <c r="AS96" s="279"/>
      <c r="AT96" s="279"/>
      <c r="AU96" s="279"/>
      <c r="AV96" s="279"/>
      <c r="AW96" s="284"/>
      <c r="AX96" s="285"/>
      <c r="AY96" s="285"/>
      <c r="AZ96" s="285"/>
      <c r="BA96" s="285"/>
      <c r="BB96" s="285"/>
      <c r="BC96" s="285"/>
      <c r="BD96" s="285"/>
      <c r="BE96" s="280"/>
      <c r="BF96" s="284"/>
      <c r="BG96" s="285"/>
      <c r="BH96" s="285"/>
      <c r="BI96" s="285"/>
      <c r="BJ96" s="285"/>
      <c r="BK96" s="285"/>
      <c r="BL96" s="285"/>
      <c r="BM96" s="285"/>
      <c r="BN96" s="280"/>
      <c r="BO96" s="279"/>
      <c r="BP96" s="279"/>
      <c r="BQ96" s="279"/>
      <c r="BR96" s="278"/>
      <c r="BS96" s="279"/>
      <c r="BT96" s="279"/>
      <c r="BU96" s="279"/>
      <c r="BV96" s="279"/>
      <c r="BW96" s="279"/>
      <c r="BX96" s="279"/>
      <c r="BY96" s="279"/>
      <c r="BZ96" s="279"/>
      <c r="CA96" s="279"/>
      <c r="CB96" s="279"/>
      <c r="CC96" s="279"/>
      <c r="CD96" s="279"/>
      <c r="CE96" s="279"/>
    </row>
    <row r="97" spans="1:83">
      <c r="A97" s="278"/>
      <c r="B97" s="278"/>
      <c r="C97" s="279"/>
      <c r="D97" s="279"/>
      <c r="E97" s="279"/>
      <c r="F97" s="279"/>
      <c r="G97" s="279"/>
      <c r="H97" s="279"/>
      <c r="I97" s="279"/>
      <c r="J97" s="279"/>
      <c r="K97" s="279"/>
      <c r="L97" s="279"/>
      <c r="M97" s="279"/>
      <c r="N97" s="280"/>
      <c r="O97" s="279"/>
      <c r="P97" s="280"/>
      <c r="Q97" s="279"/>
      <c r="R97" s="279"/>
      <c r="S97" s="279"/>
      <c r="T97" s="279"/>
      <c r="U97" s="280"/>
      <c r="V97" s="279"/>
      <c r="W97" s="279"/>
      <c r="X97" s="279"/>
      <c r="Y97" s="279"/>
      <c r="Z97" s="280"/>
      <c r="AA97" s="279"/>
      <c r="AB97" s="279"/>
      <c r="AC97" s="279"/>
      <c r="AD97" s="279"/>
      <c r="AE97" s="279"/>
      <c r="AF97" s="279"/>
      <c r="AG97" s="279"/>
      <c r="AH97" s="279"/>
      <c r="AI97" s="279"/>
      <c r="AJ97" s="279"/>
      <c r="AK97" s="280"/>
      <c r="AL97" s="279"/>
      <c r="AM97" s="279"/>
      <c r="AN97" s="280"/>
      <c r="AO97" s="279"/>
      <c r="AP97" s="280"/>
      <c r="AQ97" s="279"/>
      <c r="AR97" s="285"/>
      <c r="AS97" s="279"/>
      <c r="AT97" s="279"/>
      <c r="AU97" s="279"/>
      <c r="AV97" s="279"/>
      <c r="AW97" s="284"/>
      <c r="AX97" s="285"/>
      <c r="AY97" s="285"/>
      <c r="AZ97" s="285"/>
      <c r="BA97" s="285"/>
      <c r="BB97" s="285"/>
      <c r="BC97" s="285"/>
      <c r="BD97" s="285"/>
      <c r="BE97" s="280"/>
      <c r="BF97" s="284"/>
      <c r="BG97" s="285"/>
      <c r="BH97" s="285"/>
      <c r="BI97" s="285"/>
      <c r="BJ97" s="285"/>
      <c r="BK97" s="285"/>
      <c r="BL97" s="285"/>
      <c r="BM97" s="285"/>
      <c r="BN97" s="280"/>
      <c r="BO97" s="279"/>
      <c r="BP97" s="279"/>
      <c r="BQ97" s="279"/>
      <c r="BR97" s="278"/>
      <c r="BS97" s="279"/>
      <c r="BT97" s="279"/>
      <c r="BU97" s="279"/>
      <c r="BV97" s="279"/>
      <c r="BW97" s="279"/>
      <c r="BX97" s="279"/>
      <c r="BY97" s="279"/>
      <c r="BZ97" s="279"/>
      <c r="CA97" s="279"/>
      <c r="CB97" s="279"/>
      <c r="CC97" s="279"/>
      <c r="CD97" s="279"/>
      <c r="CE97" s="279"/>
    </row>
    <row r="98" spans="1:83">
      <c r="A98" s="278"/>
      <c r="B98" s="278"/>
      <c r="C98" s="279"/>
      <c r="D98" s="279"/>
      <c r="E98" s="279"/>
      <c r="F98" s="279"/>
      <c r="G98" s="279"/>
      <c r="H98" s="279"/>
      <c r="I98" s="279"/>
      <c r="J98" s="279"/>
      <c r="K98" s="279"/>
      <c r="L98" s="279"/>
      <c r="M98" s="279"/>
      <c r="N98" s="280"/>
      <c r="O98" s="279"/>
      <c r="P98" s="280"/>
      <c r="Q98" s="279"/>
      <c r="R98" s="279"/>
      <c r="S98" s="279"/>
      <c r="T98" s="279"/>
      <c r="U98" s="280"/>
      <c r="V98" s="279"/>
      <c r="W98" s="279"/>
      <c r="X98" s="279"/>
      <c r="Y98" s="279"/>
      <c r="Z98" s="280"/>
      <c r="AA98" s="279"/>
      <c r="AB98" s="279"/>
      <c r="AC98" s="279"/>
      <c r="AD98" s="279"/>
      <c r="AE98" s="279"/>
      <c r="AF98" s="279"/>
      <c r="AG98" s="279"/>
      <c r="AH98" s="279"/>
      <c r="AI98" s="279"/>
      <c r="AJ98" s="279"/>
      <c r="AK98" s="280"/>
      <c r="AL98" s="279"/>
      <c r="AM98" s="279"/>
      <c r="AN98" s="280"/>
      <c r="AO98" s="279"/>
      <c r="AP98" s="280"/>
      <c r="AQ98" s="279"/>
      <c r="AR98" s="285"/>
      <c r="AS98" s="279"/>
      <c r="AT98" s="279"/>
      <c r="AU98" s="279"/>
      <c r="AV98" s="279"/>
      <c r="AW98" s="284"/>
      <c r="AX98" s="285"/>
      <c r="AY98" s="285"/>
      <c r="AZ98" s="285"/>
      <c r="BA98" s="285"/>
      <c r="BB98" s="285"/>
      <c r="BC98" s="285"/>
      <c r="BD98" s="285"/>
      <c r="BE98" s="280"/>
      <c r="BF98" s="284"/>
      <c r="BG98" s="285"/>
      <c r="BH98" s="285"/>
      <c r="BI98" s="285"/>
      <c r="BJ98" s="285"/>
      <c r="BK98" s="285"/>
      <c r="BL98" s="285"/>
      <c r="BM98" s="285"/>
      <c r="BN98" s="280"/>
      <c r="BO98" s="279"/>
      <c r="BP98" s="279"/>
      <c r="BQ98" s="279"/>
      <c r="BR98" s="278"/>
      <c r="BS98" s="279"/>
      <c r="BT98" s="279"/>
      <c r="BU98" s="279"/>
      <c r="BV98" s="279"/>
      <c r="BW98" s="279"/>
      <c r="BX98" s="279"/>
      <c r="BY98" s="279"/>
      <c r="BZ98" s="279"/>
      <c r="CA98" s="279"/>
      <c r="CB98" s="279"/>
      <c r="CC98" s="279"/>
      <c r="CD98" s="279"/>
      <c r="CE98" s="279"/>
    </row>
    <row r="99" spans="1:83">
      <c r="A99" s="278"/>
      <c r="B99" s="278"/>
      <c r="C99" s="279"/>
      <c r="D99" s="279"/>
      <c r="E99" s="279"/>
      <c r="F99" s="279"/>
      <c r="G99" s="279"/>
      <c r="H99" s="279"/>
      <c r="I99" s="279"/>
      <c r="J99" s="279"/>
      <c r="K99" s="279"/>
      <c r="L99" s="279"/>
      <c r="M99" s="279"/>
      <c r="N99" s="280"/>
      <c r="O99" s="279"/>
      <c r="P99" s="280"/>
      <c r="Q99" s="279"/>
      <c r="R99" s="279"/>
      <c r="S99" s="279"/>
      <c r="T99" s="279"/>
      <c r="U99" s="280"/>
      <c r="V99" s="279"/>
      <c r="W99" s="279"/>
      <c r="X99" s="279"/>
      <c r="Y99" s="279"/>
      <c r="Z99" s="280"/>
      <c r="AA99" s="279"/>
      <c r="AB99" s="279"/>
      <c r="AC99" s="279"/>
      <c r="AD99" s="279"/>
      <c r="AE99" s="279"/>
      <c r="AF99" s="279"/>
      <c r="AG99" s="279"/>
      <c r="AH99" s="279"/>
      <c r="AI99" s="279"/>
      <c r="AJ99" s="279"/>
      <c r="AK99" s="280"/>
      <c r="AL99" s="279"/>
      <c r="AM99" s="279"/>
      <c r="AN99" s="280"/>
      <c r="AO99" s="279"/>
      <c r="AP99" s="280"/>
      <c r="AQ99" s="279"/>
      <c r="AR99" s="285"/>
      <c r="AS99" s="279"/>
      <c r="AT99" s="279"/>
      <c r="AU99" s="279"/>
      <c r="AV99" s="279"/>
      <c r="AW99" s="284"/>
      <c r="AX99" s="285"/>
      <c r="AY99" s="285"/>
      <c r="AZ99" s="285"/>
      <c r="BA99" s="285"/>
      <c r="BB99" s="285"/>
      <c r="BC99" s="285"/>
      <c r="BD99" s="285"/>
      <c r="BE99" s="280"/>
      <c r="BF99" s="284"/>
      <c r="BG99" s="285"/>
      <c r="BH99" s="285"/>
      <c r="BI99" s="285"/>
      <c r="BJ99" s="285"/>
      <c r="BK99" s="285"/>
      <c r="BL99" s="285"/>
      <c r="BM99" s="285"/>
      <c r="BN99" s="280"/>
      <c r="BO99" s="279"/>
      <c r="BP99" s="279"/>
      <c r="BQ99" s="279"/>
      <c r="BR99" s="278"/>
      <c r="BS99" s="279"/>
      <c r="BT99" s="279"/>
      <c r="BU99" s="279"/>
      <c r="BV99" s="279"/>
      <c r="BW99" s="279"/>
      <c r="BX99" s="279"/>
      <c r="BY99" s="279"/>
      <c r="BZ99" s="279"/>
      <c r="CA99" s="279"/>
      <c r="CB99" s="279"/>
      <c r="CC99" s="279"/>
      <c r="CD99" s="279"/>
      <c r="CE99" s="279"/>
    </row>
    <row r="100" spans="1:83">
      <c r="A100" s="278"/>
      <c r="B100" s="278"/>
      <c r="C100" s="279"/>
      <c r="D100" s="279"/>
      <c r="E100" s="279"/>
      <c r="F100" s="279"/>
      <c r="G100" s="279"/>
      <c r="H100" s="279"/>
      <c r="I100" s="279"/>
      <c r="J100" s="279"/>
      <c r="K100" s="279"/>
      <c r="L100" s="279"/>
      <c r="M100" s="279"/>
      <c r="N100" s="280"/>
      <c r="O100" s="279"/>
      <c r="P100" s="280"/>
      <c r="Q100" s="279"/>
      <c r="R100" s="279"/>
      <c r="S100" s="279"/>
      <c r="T100" s="279"/>
      <c r="U100" s="280"/>
      <c r="V100" s="279"/>
      <c r="W100" s="279"/>
      <c r="X100" s="279"/>
      <c r="Y100" s="279"/>
      <c r="Z100" s="280"/>
      <c r="AA100" s="279"/>
      <c r="AB100" s="279"/>
      <c r="AC100" s="279"/>
      <c r="AD100" s="279"/>
      <c r="AE100" s="279"/>
      <c r="AF100" s="279"/>
      <c r="AG100" s="279"/>
      <c r="AH100" s="279"/>
      <c r="AI100" s="279"/>
      <c r="AJ100" s="279"/>
      <c r="AK100" s="280"/>
      <c r="AL100" s="279"/>
      <c r="AM100" s="279"/>
      <c r="AN100" s="280"/>
      <c r="AO100" s="279"/>
      <c r="AP100" s="280"/>
      <c r="AQ100" s="279"/>
      <c r="AR100" s="285"/>
      <c r="AS100" s="279"/>
      <c r="AT100" s="279"/>
      <c r="AU100" s="279"/>
      <c r="AV100" s="279"/>
      <c r="AW100" s="284"/>
      <c r="AX100" s="285"/>
      <c r="AY100" s="285"/>
      <c r="AZ100" s="285"/>
      <c r="BA100" s="285"/>
      <c r="BB100" s="285"/>
      <c r="BC100" s="285"/>
      <c r="BD100" s="285"/>
      <c r="BE100" s="280"/>
      <c r="BF100" s="284"/>
      <c r="BG100" s="285"/>
      <c r="BH100" s="285"/>
      <c r="BI100" s="285"/>
      <c r="BJ100" s="285"/>
      <c r="BK100" s="285"/>
      <c r="BL100" s="285"/>
      <c r="BM100" s="285"/>
      <c r="BN100" s="280"/>
      <c r="BO100" s="279"/>
      <c r="BP100" s="279"/>
      <c r="BQ100" s="279"/>
      <c r="BR100" s="278"/>
      <c r="BS100" s="279"/>
      <c r="BT100" s="279"/>
      <c r="BU100" s="279"/>
      <c r="BV100" s="279"/>
      <c r="BW100" s="279"/>
      <c r="BX100" s="279"/>
      <c r="BY100" s="279"/>
      <c r="BZ100" s="279"/>
      <c r="CA100" s="279"/>
      <c r="CB100" s="279"/>
      <c r="CC100" s="279"/>
      <c r="CD100" s="279"/>
      <c r="CE100" s="279"/>
    </row>
    <row r="101" spans="1:83">
      <c r="A101" s="278"/>
      <c r="B101" s="278"/>
      <c r="C101" s="279"/>
      <c r="D101" s="279"/>
      <c r="E101" s="279"/>
      <c r="F101" s="279"/>
      <c r="G101" s="279"/>
      <c r="H101" s="279"/>
      <c r="I101" s="279"/>
      <c r="J101" s="279"/>
      <c r="K101" s="279"/>
      <c r="L101" s="279"/>
      <c r="M101" s="279"/>
      <c r="N101" s="280"/>
      <c r="O101" s="279"/>
      <c r="P101" s="280"/>
      <c r="Q101" s="279"/>
      <c r="R101" s="279"/>
      <c r="S101" s="279"/>
      <c r="T101" s="279"/>
      <c r="U101" s="280"/>
      <c r="V101" s="279"/>
      <c r="W101" s="279"/>
      <c r="X101" s="279"/>
      <c r="Y101" s="279"/>
      <c r="Z101" s="280"/>
      <c r="AA101" s="279"/>
      <c r="AB101" s="279"/>
      <c r="AC101" s="279"/>
      <c r="AD101" s="279"/>
      <c r="AE101" s="279"/>
      <c r="AF101" s="279"/>
      <c r="AG101" s="279"/>
      <c r="AH101" s="279"/>
      <c r="AI101" s="279"/>
      <c r="AJ101" s="279"/>
      <c r="AK101" s="280"/>
      <c r="AL101" s="279"/>
      <c r="AM101" s="279"/>
      <c r="AN101" s="280"/>
      <c r="AO101" s="279"/>
      <c r="AP101" s="280"/>
      <c r="AQ101" s="279"/>
      <c r="AR101" s="285"/>
      <c r="AS101" s="279"/>
      <c r="AT101" s="279"/>
      <c r="AU101" s="279"/>
      <c r="AV101" s="279"/>
      <c r="AW101" s="284"/>
      <c r="AX101" s="285"/>
      <c r="AY101" s="285"/>
      <c r="AZ101" s="285"/>
      <c r="BA101" s="285"/>
      <c r="BB101" s="285"/>
      <c r="BC101" s="285"/>
      <c r="BD101" s="285"/>
      <c r="BE101" s="280"/>
      <c r="BF101" s="284"/>
      <c r="BG101" s="285"/>
      <c r="BH101" s="285"/>
      <c r="BI101" s="285"/>
      <c r="BJ101" s="285"/>
      <c r="BK101" s="285"/>
      <c r="BL101" s="285"/>
      <c r="BM101" s="285"/>
      <c r="BN101" s="280"/>
      <c r="BO101" s="279"/>
      <c r="BP101" s="279"/>
      <c r="BQ101" s="279"/>
      <c r="BR101" s="278"/>
      <c r="BS101" s="279"/>
      <c r="BT101" s="279"/>
      <c r="BU101" s="279"/>
      <c r="BV101" s="279"/>
      <c r="BW101" s="279"/>
      <c r="BX101" s="279"/>
      <c r="BY101" s="279"/>
      <c r="BZ101" s="279"/>
      <c r="CA101" s="279"/>
      <c r="CB101" s="279"/>
      <c r="CC101" s="279"/>
      <c r="CD101" s="279"/>
      <c r="CE101" s="279"/>
    </row>
    <row r="102" spans="1:83">
      <c r="A102" s="278"/>
      <c r="B102" s="278"/>
      <c r="C102" s="279"/>
      <c r="D102" s="279"/>
      <c r="E102" s="279"/>
      <c r="F102" s="279"/>
      <c r="G102" s="279"/>
      <c r="H102" s="279"/>
      <c r="I102" s="279"/>
      <c r="J102" s="279"/>
      <c r="K102" s="279"/>
      <c r="L102" s="279"/>
      <c r="M102" s="279"/>
      <c r="N102" s="280"/>
      <c r="O102" s="279"/>
      <c r="P102" s="280"/>
      <c r="Q102" s="279"/>
      <c r="R102" s="279"/>
      <c r="S102" s="279"/>
      <c r="T102" s="279"/>
      <c r="U102" s="280"/>
      <c r="V102" s="279"/>
      <c r="W102" s="279"/>
      <c r="X102" s="279"/>
      <c r="Y102" s="279"/>
      <c r="Z102" s="280"/>
      <c r="AA102" s="279"/>
      <c r="AB102" s="279"/>
      <c r="AC102" s="279"/>
      <c r="AD102" s="279"/>
      <c r="AE102" s="279"/>
      <c r="AF102" s="279"/>
      <c r="AG102" s="279"/>
      <c r="AH102" s="279"/>
      <c r="AI102" s="279"/>
      <c r="AJ102" s="279"/>
      <c r="AK102" s="280"/>
      <c r="AL102" s="279"/>
      <c r="AM102" s="279"/>
      <c r="AN102" s="280"/>
      <c r="AO102" s="279"/>
      <c r="AP102" s="280"/>
      <c r="AQ102" s="279"/>
      <c r="AR102" s="285"/>
      <c r="AS102" s="279"/>
      <c r="AT102" s="279"/>
      <c r="AU102" s="279"/>
      <c r="AV102" s="279"/>
      <c r="AW102" s="284"/>
      <c r="AX102" s="285"/>
      <c r="AY102" s="285"/>
      <c r="AZ102" s="285"/>
      <c r="BA102" s="285"/>
      <c r="BB102" s="285"/>
      <c r="BC102" s="285"/>
      <c r="BD102" s="285"/>
      <c r="BE102" s="280"/>
      <c r="BF102" s="284"/>
      <c r="BG102" s="285"/>
      <c r="BH102" s="285"/>
      <c r="BI102" s="285"/>
      <c r="BJ102" s="285"/>
      <c r="BK102" s="285"/>
      <c r="BL102" s="285"/>
      <c r="BM102" s="285"/>
      <c r="BN102" s="280"/>
      <c r="BO102" s="279"/>
      <c r="BP102" s="279"/>
      <c r="BQ102" s="279"/>
      <c r="BR102" s="278"/>
      <c r="BS102" s="279"/>
      <c r="BT102" s="279"/>
      <c r="BU102" s="279"/>
      <c r="BV102" s="279"/>
      <c r="BW102" s="279"/>
      <c r="BX102" s="279"/>
      <c r="BY102" s="279"/>
      <c r="BZ102" s="279"/>
      <c r="CA102" s="279"/>
      <c r="CB102" s="279"/>
      <c r="CC102" s="279"/>
      <c r="CD102" s="279"/>
      <c r="CE102" s="279"/>
    </row>
    <row r="103" spans="1:83">
      <c r="A103" s="278"/>
      <c r="B103" s="278"/>
      <c r="C103" s="279"/>
      <c r="D103" s="279"/>
      <c r="E103" s="279"/>
      <c r="F103" s="279"/>
      <c r="G103" s="279"/>
      <c r="H103" s="279"/>
      <c r="I103" s="279"/>
      <c r="J103" s="279"/>
      <c r="K103" s="279"/>
      <c r="L103" s="279"/>
      <c r="M103" s="279"/>
      <c r="N103" s="280"/>
      <c r="O103" s="279"/>
      <c r="P103" s="280"/>
      <c r="Q103" s="279"/>
      <c r="R103" s="279"/>
      <c r="S103" s="279"/>
      <c r="T103" s="279"/>
      <c r="U103" s="280"/>
      <c r="V103" s="279"/>
      <c r="W103" s="279"/>
      <c r="X103" s="279"/>
      <c r="Y103" s="279"/>
      <c r="Z103" s="280"/>
      <c r="AA103" s="279"/>
      <c r="AB103" s="279"/>
      <c r="AC103" s="279"/>
      <c r="AD103" s="279"/>
      <c r="AE103" s="279"/>
      <c r="AF103" s="279"/>
      <c r="AG103" s="279"/>
      <c r="AH103" s="279"/>
      <c r="AI103" s="279"/>
      <c r="AJ103" s="279"/>
      <c r="AK103" s="280"/>
      <c r="AL103" s="279"/>
      <c r="AM103" s="279"/>
      <c r="AN103" s="280"/>
      <c r="AO103" s="279"/>
      <c r="AP103" s="280"/>
      <c r="AQ103" s="279"/>
      <c r="AR103" s="285"/>
      <c r="AS103" s="279"/>
      <c r="AT103" s="279"/>
      <c r="AU103" s="279"/>
      <c r="AV103" s="279"/>
      <c r="AW103" s="284"/>
      <c r="AX103" s="285"/>
      <c r="AY103" s="285"/>
      <c r="AZ103" s="285"/>
      <c r="BA103" s="285"/>
      <c r="BB103" s="285"/>
      <c r="BC103" s="285"/>
      <c r="BD103" s="285"/>
      <c r="BE103" s="280"/>
      <c r="BF103" s="284"/>
      <c r="BG103" s="285"/>
      <c r="BH103" s="285"/>
      <c r="BI103" s="285"/>
      <c r="BJ103" s="285"/>
      <c r="BK103" s="285"/>
      <c r="BL103" s="285"/>
      <c r="BM103" s="285"/>
      <c r="BN103" s="280"/>
      <c r="BO103" s="279"/>
      <c r="BP103" s="279"/>
      <c r="BQ103" s="279"/>
      <c r="BR103" s="278"/>
      <c r="BS103" s="279"/>
      <c r="BT103" s="279"/>
      <c r="BU103" s="279"/>
      <c r="BV103" s="279"/>
      <c r="BW103" s="279"/>
      <c r="BX103" s="279"/>
      <c r="BY103" s="279"/>
      <c r="BZ103" s="279"/>
      <c r="CA103" s="279"/>
      <c r="CB103" s="279"/>
      <c r="CC103" s="279"/>
      <c r="CD103" s="279"/>
      <c r="CE103" s="279"/>
    </row>
    <row r="104" spans="1:83">
      <c r="A104" s="278"/>
      <c r="B104" s="278"/>
      <c r="C104" s="279"/>
      <c r="D104" s="279"/>
      <c r="E104" s="279"/>
      <c r="F104" s="279"/>
      <c r="G104" s="279"/>
      <c r="H104" s="279"/>
      <c r="I104" s="279"/>
      <c r="J104" s="279"/>
      <c r="K104" s="279"/>
      <c r="L104" s="279"/>
      <c r="M104" s="279"/>
      <c r="N104" s="280"/>
      <c r="O104" s="279"/>
      <c r="P104" s="280"/>
      <c r="Q104" s="279"/>
      <c r="R104" s="279"/>
      <c r="S104" s="279"/>
      <c r="T104" s="279"/>
      <c r="U104" s="280"/>
      <c r="V104" s="279"/>
      <c r="W104" s="279"/>
      <c r="X104" s="279"/>
      <c r="Y104" s="279"/>
      <c r="Z104" s="280"/>
      <c r="AA104" s="279"/>
      <c r="AB104" s="279"/>
      <c r="AC104" s="279"/>
      <c r="AD104" s="279"/>
      <c r="AE104" s="279"/>
      <c r="AF104" s="279"/>
      <c r="AG104" s="279"/>
      <c r="AH104" s="279"/>
      <c r="AI104" s="279"/>
      <c r="AJ104" s="279"/>
      <c r="AK104" s="280"/>
      <c r="AL104" s="279"/>
      <c r="AM104" s="279"/>
      <c r="AN104" s="280"/>
      <c r="AO104" s="279"/>
      <c r="AP104" s="280"/>
      <c r="AQ104" s="279"/>
      <c r="AR104" s="285"/>
      <c r="AS104" s="279"/>
      <c r="AT104" s="279"/>
      <c r="AU104" s="279"/>
      <c r="AV104" s="279"/>
      <c r="AW104" s="284"/>
      <c r="AX104" s="285"/>
      <c r="AY104" s="285"/>
      <c r="AZ104" s="285"/>
      <c r="BA104" s="285"/>
      <c r="BB104" s="285"/>
      <c r="BC104" s="285"/>
      <c r="BD104" s="285"/>
      <c r="BE104" s="280"/>
      <c r="BF104" s="284"/>
      <c r="BG104" s="285"/>
      <c r="BH104" s="285"/>
      <c r="BI104" s="285"/>
      <c r="BJ104" s="285"/>
      <c r="BK104" s="285"/>
      <c r="BL104" s="285"/>
      <c r="BM104" s="285"/>
      <c r="BN104" s="280"/>
      <c r="BO104" s="279"/>
      <c r="BP104" s="279"/>
      <c r="BQ104" s="279"/>
      <c r="BR104" s="278"/>
      <c r="BS104" s="279"/>
      <c r="BT104" s="279"/>
      <c r="BU104" s="279"/>
      <c r="BV104" s="279"/>
      <c r="BW104" s="279"/>
      <c r="BX104" s="279"/>
      <c r="BY104" s="279"/>
      <c r="BZ104" s="279"/>
      <c r="CA104" s="279"/>
      <c r="CB104" s="279"/>
      <c r="CC104" s="279"/>
      <c r="CD104" s="279"/>
      <c r="CE104" s="279"/>
    </row>
    <row r="105" spans="1:83">
      <c r="A105" s="278"/>
      <c r="B105" s="278"/>
      <c r="C105" s="279"/>
      <c r="D105" s="279"/>
      <c r="E105" s="279"/>
      <c r="F105" s="279"/>
      <c r="G105" s="279"/>
      <c r="H105" s="279"/>
      <c r="I105" s="279"/>
      <c r="J105" s="279"/>
      <c r="K105" s="279"/>
      <c r="L105" s="279"/>
      <c r="M105" s="279"/>
      <c r="N105" s="280"/>
      <c r="O105" s="279"/>
      <c r="P105" s="280"/>
      <c r="Q105" s="279"/>
      <c r="R105" s="279"/>
      <c r="S105" s="279"/>
      <c r="T105" s="279"/>
      <c r="U105" s="280"/>
      <c r="V105" s="279"/>
      <c r="W105" s="279"/>
      <c r="X105" s="279"/>
      <c r="Y105" s="279"/>
      <c r="Z105" s="280"/>
      <c r="AA105" s="279"/>
      <c r="AB105" s="279"/>
      <c r="AC105" s="279"/>
      <c r="AD105" s="279"/>
      <c r="AE105" s="279"/>
      <c r="AF105" s="279"/>
      <c r="AG105" s="279"/>
      <c r="AH105" s="279"/>
      <c r="AI105" s="279"/>
      <c r="AJ105" s="279"/>
      <c r="AK105" s="280"/>
      <c r="AL105" s="279"/>
      <c r="AM105" s="279"/>
      <c r="AN105" s="280"/>
      <c r="AO105" s="279"/>
      <c r="AP105" s="280"/>
      <c r="AQ105" s="279"/>
      <c r="AR105" s="285"/>
      <c r="AS105" s="279"/>
      <c r="AT105" s="279"/>
      <c r="AU105" s="279"/>
      <c r="AV105" s="279"/>
      <c r="AW105" s="284"/>
      <c r="AX105" s="285"/>
      <c r="AY105" s="285"/>
      <c r="AZ105" s="285"/>
      <c r="BA105" s="285"/>
      <c r="BB105" s="285"/>
      <c r="BC105" s="285"/>
      <c r="BD105" s="285"/>
      <c r="BE105" s="280"/>
      <c r="BF105" s="284"/>
      <c r="BG105" s="285"/>
      <c r="BH105" s="285"/>
      <c r="BI105" s="285"/>
      <c r="BJ105" s="285"/>
      <c r="BK105" s="285"/>
      <c r="BL105" s="285"/>
      <c r="BM105" s="285"/>
      <c r="BN105" s="280"/>
      <c r="BO105" s="279"/>
      <c r="BP105" s="279"/>
      <c r="BQ105" s="279"/>
      <c r="BR105" s="278"/>
      <c r="BS105" s="279"/>
      <c r="BT105" s="279"/>
      <c r="BU105" s="279"/>
      <c r="BV105" s="279"/>
      <c r="BW105" s="279"/>
      <c r="BX105" s="279"/>
      <c r="BY105" s="279"/>
      <c r="BZ105" s="279"/>
      <c r="CA105" s="279"/>
      <c r="CB105" s="279"/>
      <c r="CC105" s="279"/>
      <c r="CD105" s="279"/>
      <c r="CE105" s="279"/>
    </row>
    <row r="106" spans="1:83">
      <c r="A106" s="278"/>
      <c r="B106" s="278"/>
      <c r="C106" s="279"/>
      <c r="D106" s="279"/>
      <c r="E106" s="279"/>
      <c r="F106" s="279"/>
      <c r="G106" s="279"/>
      <c r="H106" s="279"/>
      <c r="I106" s="279"/>
      <c r="J106" s="279"/>
      <c r="K106" s="279"/>
      <c r="L106" s="279"/>
      <c r="M106" s="279"/>
      <c r="N106" s="280"/>
      <c r="O106" s="279"/>
      <c r="P106" s="280"/>
      <c r="Q106" s="279"/>
      <c r="R106" s="279"/>
      <c r="S106" s="279"/>
      <c r="T106" s="279"/>
      <c r="U106" s="280"/>
      <c r="V106" s="279"/>
      <c r="W106" s="279"/>
      <c r="X106" s="279"/>
      <c r="Y106" s="279"/>
      <c r="Z106" s="280"/>
      <c r="AA106" s="279"/>
      <c r="AB106" s="279"/>
      <c r="AC106" s="279"/>
      <c r="AD106" s="279"/>
      <c r="AE106" s="279"/>
      <c r="AF106" s="279"/>
      <c r="AG106" s="279"/>
      <c r="AH106" s="279"/>
      <c r="AI106" s="279"/>
      <c r="AJ106" s="279"/>
      <c r="AK106" s="280"/>
      <c r="AL106" s="279"/>
      <c r="AM106" s="279"/>
      <c r="AN106" s="280"/>
      <c r="AO106" s="279"/>
      <c r="AP106" s="280"/>
      <c r="AQ106" s="279"/>
      <c r="AR106" s="285"/>
      <c r="AS106" s="279"/>
      <c r="AT106" s="279"/>
      <c r="AU106" s="279"/>
      <c r="AV106" s="279"/>
      <c r="AW106" s="284"/>
      <c r="AX106" s="285"/>
      <c r="AY106" s="285"/>
      <c r="AZ106" s="285"/>
      <c r="BA106" s="285"/>
      <c r="BB106" s="285"/>
      <c r="BC106" s="285"/>
      <c r="BD106" s="285"/>
      <c r="BE106" s="280"/>
      <c r="BF106" s="284"/>
      <c r="BG106" s="285"/>
      <c r="BH106" s="285"/>
      <c r="BI106" s="285"/>
      <c r="BJ106" s="285"/>
      <c r="BK106" s="285"/>
      <c r="BL106" s="285"/>
      <c r="BM106" s="285"/>
      <c r="BN106" s="280"/>
      <c r="BO106" s="279"/>
      <c r="BP106" s="279"/>
      <c r="BQ106" s="279"/>
      <c r="BR106" s="278"/>
      <c r="BS106" s="279"/>
      <c r="BT106" s="279"/>
      <c r="BU106" s="279"/>
      <c r="BV106" s="279"/>
      <c r="BW106" s="279"/>
      <c r="BX106" s="279"/>
      <c r="BY106" s="279"/>
      <c r="BZ106" s="279"/>
      <c r="CA106" s="279"/>
      <c r="CB106" s="279"/>
      <c r="CC106" s="279"/>
      <c r="CD106" s="279"/>
      <c r="CE106" s="279"/>
    </row>
    <row r="107" spans="1:83">
      <c r="A107" s="278"/>
      <c r="B107" s="278"/>
      <c r="C107" s="279"/>
      <c r="D107" s="279"/>
      <c r="E107" s="279"/>
      <c r="F107" s="279"/>
      <c r="G107" s="279"/>
      <c r="H107" s="279"/>
      <c r="I107" s="279"/>
      <c r="J107" s="279"/>
      <c r="K107" s="279"/>
      <c r="L107" s="279"/>
      <c r="M107" s="279"/>
      <c r="N107" s="280"/>
      <c r="O107" s="279"/>
      <c r="P107" s="280"/>
      <c r="Q107" s="279"/>
      <c r="R107" s="279"/>
      <c r="S107" s="279"/>
      <c r="T107" s="279"/>
      <c r="U107" s="280"/>
      <c r="V107" s="279"/>
      <c r="W107" s="279"/>
      <c r="X107" s="279"/>
      <c r="Y107" s="279"/>
      <c r="Z107" s="280"/>
      <c r="AA107" s="279"/>
      <c r="AB107" s="279"/>
      <c r="AC107" s="279"/>
      <c r="AD107" s="279"/>
      <c r="AE107" s="279"/>
      <c r="AF107" s="279"/>
      <c r="AG107" s="279"/>
      <c r="AH107" s="279"/>
      <c r="AI107" s="279"/>
      <c r="AJ107" s="279"/>
      <c r="AK107" s="280"/>
      <c r="AL107" s="279"/>
      <c r="AM107" s="279"/>
      <c r="AN107" s="280"/>
      <c r="AO107" s="279"/>
      <c r="AP107" s="280"/>
      <c r="AQ107" s="279"/>
      <c r="AR107" s="285"/>
      <c r="AS107" s="279"/>
      <c r="AT107" s="279"/>
      <c r="AU107" s="279"/>
      <c r="AV107" s="279"/>
      <c r="AW107" s="284"/>
      <c r="AX107" s="285"/>
      <c r="AY107" s="285"/>
      <c r="AZ107" s="285"/>
      <c r="BA107" s="285"/>
      <c r="BB107" s="285"/>
      <c r="BC107" s="285"/>
      <c r="BD107" s="285"/>
      <c r="BE107" s="280"/>
      <c r="BF107" s="284"/>
      <c r="BG107" s="285"/>
      <c r="BH107" s="285"/>
      <c r="BI107" s="285"/>
      <c r="BJ107" s="285"/>
      <c r="BK107" s="285"/>
      <c r="BL107" s="285"/>
      <c r="BM107" s="285"/>
      <c r="BN107" s="280"/>
      <c r="BO107" s="279"/>
      <c r="BP107" s="279"/>
      <c r="BQ107" s="279"/>
      <c r="BR107" s="278"/>
      <c r="BS107" s="279"/>
      <c r="BT107" s="279"/>
      <c r="BU107" s="279"/>
      <c r="BV107" s="279"/>
      <c r="BW107" s="279"/>
      <c r="BX107" s="279"/>
      <c r="BY107" s="279"/>
      <c r="BZ107" s="279"/>
      <c r="CA107" s="279"/>
      <c r="CB107" s="279"/>
      <c r="CC107" s="279"/>
      <c r="CD107" s="279"/>
      <c r="CE107" s="279"/>
    </row>
    <row r="108" spans="1:83">
      <c r="A108" s="278"/>
      <c r="B108" s="278"/>
      <c r="C108" s="279"/>
      <c r="D108" s="279"/>
      <c r="E108" s="279"/>
      <c r="F108" s="279"/>
      <c r="G108" s="279"/>
      <c r="H108" s="279"/>
      <c r="I108" s="279"/>
      <c r="J108" s="279"/>
      <c r="K108" s="279"/>
      <c r="L108" s="279"/>
      <c r="M108" s="279"/>
      <c r="N108" s="280"/>
      <c r="O108" s="279"/>
      <c r="P108" s="280"/>
      <c r="Q108" s="279"/>
      <c r="R108" s="279"/>
      <c r="S108" s="279"/>
      <c r="T108" s="279"/>
      <c r="U108" s="280"/>
      <c r="V108" s="279"/>
      <c r="W108" s="279"/>
      <c r="X108" s="279"/>
      <c r="Y108" s="279"/>
      <c r="Z108" s="280"/>
      <c r="AA108" s="279"/>
      <c r="AB108" s="279"/>
      <c r="AC108" s="279"/>
      <c r="AD108" s="279"/>
      <c r="AE108" s="279"/>
      <c r="AF108" s="279"/>
      <c r="AG108" s="279"/>
      <c r="AH108" s="279"/>
      <c r="AI108" s="279"/>
      <c r="AJ108" s="279"/>
      <c r="AK108" s="280"/>
      <c r="AL108" s="279"/>
      <c r="AM108" s="279"/>
      <c r="AN108" s="280"/>
      <c r="AO108" s="279"/>
      <c r="AP108" s="280"/>
      <c r="AQ108" s="279"/>
      <c r="AR108" s="285"/>
      <c r="AS108" s="279"/>
      <c r="AT108" s="279"/>
      <c r="AU108" s="279"/>
      <c r="AV108" s="279"/>
      <c r="AW108" s="284"/>
      <c r="AX108" s="285"/>
      <c r="AY108" s="285"/>
      <c r="AZ108" s="285"/>
      <c r="BA108" s="285"/>
      <c r="BB108" s="285"/>
      <c r="BC108" s="285"/>
      <c r="BD108" s="285"/>
      <c r="BE108" s="280"/>
      <c r="BF108" s="284"/>
      <c r="BG108" s="285"/>
      <c r="BH108" s="285"/>
      <c r="BI108" s="285"/>
      <c r="BJ108" s="285"/>
      <c r="BK108" s="285"/>
      <c r="BL108" s="285"/>
      <c r="BM108" s="285"/>
      <c r="BN108" s="280"/>
      <c r="BO108" s="279"/>
      <c r="BP108" s="279"/>
      <c r="BQ108" s="279"/>
      <c r="BR108" s="278"/>
      <c r="BS108" s="279"/>
      <c r="BT108" s="279"/>
      <c r="BU108" s="279"/>
      <c r="BV108" s="279"/>
      <c r="BW108" s="279"/>
      <c r="BX108" s="279"/>
      <c r="BY108" s="279"/>
      <c r="BZ108" s="279"/>
      <c r="CA108" s="279"/>
      <c r="CB108" s="279"/>
      <c r="CC108" s="279"/>
      <c r="CD108" s="279"/>
      <c r="CE108" s="279"/>
    </row>
    <row r="109" spans="1:83">
      <c r="A109" s="278"/>
      <c r="B109" s="278"/>
      <c r="C109" s="279"/>
      <c r="D109" s="279"/>
      <c r="E109" s="279"/>
      <c r="F109" s="279"/>
      <c r="G109" s="279"/>
      <c r="H109" s="279"/>
      <c r="I109" s="279"/>
      <c r="J109" s="279"/>
      <c r="K109" s="279"/>
      <c r="L109" s="279"/>
      <c r="M109" s="279"/>
      <c r="N109" s="280"/>
      <c r="O109" s="279"/>
      <c r="P109" s="280"/>
      <c r="Q109" s="279"/>
      <c r="R109" s="279"/>
      <c r="S109" s="279"/>
      <c r="T109" s="279"/>
      <c r="U109" s="280"/>
      <c r="V109" s="279"/>
      <c r="W109" s="279"/>
      <c r="X109" s="279"/>
      <c r="Y109" s="279"/>
      <c r="Z109" s="280"/>
      <c r="AA109" s="279"/>
      <c r="AB109" s="279"/>
      <c r="AC109" s="279"/>
      <c r="AD109" s="279"/>
      <c r="AE109" s="279"/>
      <c r="AF109" s="279"/>
      <c r="AG109" s="279"/>
      <c r="AH109" s="279"/>
      <c r="AI109" s="279"/>
      <c r="AJ109" s="279"/>
      <c r="AK109" s="280"/>
      <c r="AL109" s="279"/>
      <c r="AM109" s="279"/>
      <c r="AN109" s="280"/>
      <c r="AO109" s="279"/>
      <c r="AP109" s="280"/>
      <c r="AQ109" s="279"/>
      <c r="AR109" s="285"/>
      <c r="AS109" s="279"/>
      <c r="AT109" s="279"/>
      <c r="AU109" s="279"/>
      <c r="AV109" s="279"/>
      <c r="AW109" s="284"/>
      <c r="AX109" s="285"/>
      <c r="AY109" s="285"/>
      <c r="AZ109" s="285"/>
      <c r="BA109" s="285"/>
      <c r="BB109" s="285"/>
      <c r="BC109" s="285"/>
      <c r="BD109" s="285"/>
      <c r="BE109" s="280"/>
      <c r="BF109" s="284"/>
      <c r="BG109" s="285"/>
      <c r="BH109" s="285"/>
      <c r="BI109" s="285"/>
      <c r="BJ109" s="285"/>
      <c r="BK109" s="285"/>
      <c r="BL109" s="285"/>
      <c r="BM109" s="285"/>
      <c r="BN109" s="280"/>
      <c r="BO109" s="279"/>
      <c r="BP109" s="279"/>
      <c r="BQ109" s="279"/>
      <c r="BR109" s="278"/>
      <c r="BS109" s="279"/>
      <c r="BT109" s="279"/>
      <c r="BU109" s="279"/>
      <c r="BV109" s="279"/>
      <c r="BW109" s="279"/>
      <c r="BX109" s="279"/>
      <c r="BY109" s="279"/>
      <c r="BZ109" s="279"/>
      <c r="CA109" s="279"/>
      <c r="CB109" s="279"/>
      <c r="CC109" s="279"/>
      <c r="CD109" s="279"/>
      <c r="CE109" s="279"/>
    </row>
    <row r="110" spans="1:83">
      <c r="A110" s="278"/>
      <c r="B110" s="278"/>
      <c r="C110" s="279"/>
      <c r="D110" s="279"/>
      <c r="E110" s="279"/>
      <c r="F110" s="279"/>
      <c r="G110" s="279"/>
      <c r="H110" s="279"/>
      <c r="I110" s="279"/>
      <c r="J110" s="279"/>
      <c r="K110" s="279"/>
      <c r="L110" s="279"/>
      <c r="M110" s="279"/>
      <c r="N110" s="280"/>
      <c r="O110" s="279"/>
      <c r="P110" s="280"/>
      <c r="Q110" s="279"/>
      <c r="R110" s="279"/>
      <c r="S110" s="279"/>
      <c r="T110" s="279"/>
      <c r="U110" s="280"/>
      <c r="V110" s="279"/>
      <c r="W110" s="279"/>
      <c r="X110" s="279"/>
      <c r="Y110" s="279"/>
      <c r="Z110" s="280"/>
      <c r="AA110" s="279"/>
      <c r="AB110" s="279"/>
      <c r="AC110" s="279"/>
      <c r="AD110" s="279"/>
      <c r="AE110" s="279"/>
      <c r="AF110" s="279"/>
      <c r="AG110" s="279"/>
      <c r="AH110" s="279"/>
      <c r="AI110" s="279"/>
      <c r="AJ110" s="279"/>
      <c r="AK110" s="280"/>
      <c r="AL110" s="279"/>
      <c r="AM110" s="279"/>
      <c r="AN110" s="280"/>
      <c r="AO110" s="279"/>
      <c r="AP110" s="280"/>
      <c r="AQ110" s="279"/>
      <c r="AR110" s="285"/>
      <c r="AS110" s="279"/>
      <c r="AT110" s="279"/>
      <c r="AU110" s="279"/>
      <c r="AV110" s="279"/>
      <c r="AW110" s="284"/>
      <c r="AX110" s="285"/>
      <c r="AY110" s="285"/>
      <c r="AZ110" s="285"/>
      <c r="BA110" s="285"/>
      <c r="BB110" s="285"/>
      <c r="BC110" s="285"/>
      <c r="BD110" s="285"/>
      <c r="BE110" s="280"/>
      <c r="BF110" s="284"/>
      <c r="BG110" s="285"/>
      <c r="BH110" s="285"/>
      <c r="BI110" s="285"/>
      <c r="BJ110" s="285"/>
      <c r="BK110" s="285"/>
      <c r="BL110" s="285"/>
      <c r="BM110" s="285"/>
      <c r="BN110" s="280"/>
      <c r="BO110" s="279"/>
      <c r="BP110" s="279"/>
      <c r="BQ110" s="279"/>
      <c r="BR110" s="278"/>
      <c r="BS110" s="279"/>
      <c r="BT110" s="279"/>
      <c r="BU110" s="279"/>
      <c r="BV110" s="279"/>
      <c r="BW110" s="279"/>
      <c r="BX110" s="279"/>
      <c r="BY110" s="279"/>
      <c r="BZ110" s="279"/>
      <c r="CA110" s="279"/>
      <c r="CB110" s="279"/>
      <c r="CC110" s="279"/>
      <c r="CD110" s="279"/>
      <c r="CE110" s="279"/>
    </row>
    <row r="111" spans="1:83">
      <c r="A111" s="278"/>
      <c r="B111" s="278"/>
      <c r="C111" s="279"/>
      <c r="D111" s="279"/>
      <c r="E111" s="279"/>
      <c r="F111" s="279"/>
      <c r="G111" s="279"/>
      <c r="H111" s="279"/>
      <c r="I111" s="279"/>
      <c r="J111" s="279"/>
      <c r="K111" s="279"/>
      <c r="L111" s="279"/>
      <c r="M111" s="279"/>
      <c r="N111" s="280"/>
      <c r="O111" s="279"/>
      <c r="P111" s="280"/>
      <c r="Q111" s="279"/>
      <c r="R111" s="279"/>
      <c r="S111" s="279"/>
      <c r="T111" s="279"/>
      <c r="U111" s="280"/>
      <c r="V111" s="279"/>
      <c r="W111" s="279"/>
      <c r="X111" s="279"/>
      <c r="Y111" s="279"/>
      <c r="Z111" s="280"/>
      <c r="AA111" s="279"/>
      <c r="AB111" s="279"/>
      <c r="AC111" s="279"/>
      <c r="AD111" s="279"/>
      <c r="AE111" s="279"/>
      <c r="AF111" s="279"/>
      <c r="AG111" s="279"/>
      <c r="AH111" s="279"/>
      <c r="AI111" s="279"/>
      <c r="AJ111" s="279"/>
      <c r="AK111" s="280"/>
      <c r="AL111" s="279"/>
      <c r="AM111" s="279"/>
      <c r="AN111" s="280"/>
      <c r="AO111" s="279"/>
      <c r="AP111" s="280"/>
      <c r="AQ111" s="279"/>
      <c r="AR111" s="285"/>
      <c r="AS111" s="279"/>
      <c r="AT111" s="279"/>
      <c r="AU111" s="279"/>
      <c r="AV111" s="279"/>
      <c r="AW111" s="284"/>
      <c r="AX111" s="285"/>
      <c r="AY111" s="285"/>
      <c r="AZ111" s="285"/>
      <c r="BA111" s="285"/>
      <c r="BB111" s="285"/>
      <c r="BC111" s="285"/>
      <c r="BD111" s="285"/>
      <c r="BE111" s="280"/>
      <c r="BF111" s="284"/>
      <c r="BG111" s="285"/>
      <c r="BH111" s="285"/>
      <c r="BI111" s="285"/>
      <c r="BJ111" s="285"/>
      <c r="BK111" s="285"/>
      <c r="BL111" s="285"/>
      <c r="BM111" s="285"/>
      <c r="BN111" s="280"/>
      <c r="BO111" s="279"/>
      <c r="BP111" s="279"/>
      <c r="BQ111" s="279"/>
      <c r="BR111" s="278"/>
      <c r="BS111" s="279"/>
      <c r="BT111" s="279"/>
      <c r="BU111" s="279"/>
      <c r="BV111" s="279"/>
      <c r="BW111" s="279"/>
      <c r="BX111" s="279"/>
      <c r="BY111" s="279"/>
      <c r="BZ111" s="279"/>
      <c r="CA111" s="279"/>
      <c r="CB111" s="279"/>
      <c r="CC111" s="279"/>
      <c r="CD111" s="279"/>
      <c r="CE111" s="279"/>
    </row>
    <row r="112" spans="1:83">
      <c r="A112" s="278"/>
      <c r="B112" s="278"/>
      <c r="C112" s="279"/>
      <c r="D112" s="279"/>
      <c r="E112" s="279"/>
      <c r="F112" s="279"/>
      <c r="G112" s="279"/>
      <c r="H112" s="279"/>
      <c r="I112" s="279"/>
      <c r="J112" s="279"/>
      <c r="K112" s="279"/>
      <c r="L112" s="279"/>
      <c r="M112" s="279"/>
      <c r="N112" s="280"/>
      <c r="O112" s="279"/>
      <c r="P112" s="280"/>
      <c r="Q112" s="279"/>
      <c r="R112" s="279"/>
      <c r="S112" s="279"/>
      <c r="T112" s="279"/>
      <c r="U112" s="280"/>
      <c r="V112" s="279"/>
      <c r="W112" s="279"/>
      <c r="X112" s="279"/>
      <c r="Y112" s="279"/>
      <c r="Z112" s="280"/>
      <c r="AA112" s="279"/>
      <c r="AB112" s="279"/>
      <c r="AC112" s="279"/>
      <c r="AD112" s="279"/>
      <c r="AE112" s="279"/>
      <c r="AF112" s="279"/>
      <c r="AG112" s="279"/>
      <c r="AH112" s="279"/>
      <c r="AI112" s="279"/>
      <c r="AJ112" s="279"/>
      <c r="AK112" s="280"/>
      <c r="AL112" s="279"/>
      <c r="AM112" s="279"/>
      <c r="AN112" s="280"/>
      <c r="AO112" s="279"/>
      <c r="AP112" s="280"/>
      <c r="AQ112" s="279"/>
      <c r="AR112" s="285"/>
      <c r="AS112" s="279"/>
      <c r="AT112" s="279"/>
      <c r="AU112" s="279"/>
      <c r="AV112" s="279"/>
      <c r="AW112" s="284"/>
      <c r="AX112" s="285"/>
      <c r="AY112" s="285"/>
      <c r="AZ112" s="285"/>
      <c r="BA112" s="285"/>
      <c r="BB112" s="285"/>
      <c r="BC112" s="285"/>
      <c r="BD112" s="285"/>
      <c r="BE112" s="280"/>
      <c r="BF112" s="284"/>
      <c r="BG112" s="285"/>
      <c r="BH112" s="285"/>
      <c r="BI112" s="285"/>
      <c r="BJ112" s="285"/>
      <c r="BK112" s="285"/>
      <c r="BL112" s="285"/>
      <c r="BM112" s="285"/>
      <c r="BN112" s="280"/>
      <c r="BO112" s="279"/>
      <c r="BP112" s="279"/>
      <c r="BQ112" s="279"/>
      <c r="BR112" s="278"/>
      <c r="BS112" s="279"/>
      <c r="BT112" s="279"/>
      <c r="BU112" s="279"/>
      <c r="BV112" s="279"/>
      <c r="BW112" s="279"/>
      <c r="BX112" s="279"/>
      <c r="BY112" s="279"/>
      <c r="BZ112" s="279"/>
      <c r="CA112" s="279"/>
      <c r="CB112" s="279"/>
      <c r="CC112" s="279"/>
      <c r="CD112" s="279"/>
      <c r="CE112" s="279"/>
    </row>
    <row r="113" spans="1:83">
      <c r="A113" s="278"/>
      <c r="B113" s="278"/>
      <c r="C113" s="279"/>
      <c r="D113" s="279"/>
      <c r="E113" s="279"/>
      <c r="F113" s="279"/>
      <c r="G113" s="279"/>
      <c r="H113" s="279"/>
      <c r="I113" s="279"/>
      <c r="J113" s="279"/>
      <c r="K113" s="279"/>
      <c r="L113" s="279"/>
      <c r="M113" s="279"/>
      <c r="N113" s="280"/>
      <c r="O113" s="279"/>
      <c r="P113" s="280"/>
      <c r="Q113" s="279"/>
      <c r="R113" s="279"/>
      <c r="S113" s="279"/>
      <c r="T113" s="279"/>
      <c r="U113" s="280"/>
      <c r="V113" s="279"/>
      <c r="W113" s="279"/>
      <c r="X113" s="279"/>
      <c r="Y113" s="279"/>
      <c r="Z113" s="280"/>
      <c r="AA113" s="279"/>
      <c r="AB113" s="279"/>
      <c r="AC113" s="279"/>
      <c r="AD113" s="279"/>
      <c r="AE113" s="279"/>
      <c r="AF113" s="279"/>
      <c r="AG113" s="279"/>
      <c r="AH113" s="279"/>
      <c r="AI113" s="279"/>
      <c r="AJ113" s="279"/>
      <c r="AK113" s="280"/>
      <c r="AL113" s="279"/>
      <c r="AM113" s="279"/>
      <c r="AN113" s="280"/>
      <c r="AO113" s="279"/>
      <c r="AP113" s="280"/>
      <c r="AQ113" s="279"/>
      <c r="AR113" s="285"/>
      <c r="AS113" s="279"/>
      <c r="AT113" s="279"/>
      <c r="AU113" s="279"/>
      <c r="AV113" s="279"/>
      <c r="AW113" s="284"/>
      <c r="AX113" s="285"/>
      <c r="AY113" s="285"/>
      <c r="AZ113" s="285"/>
      <c r="BA113" s="285"/>
      <c r="BB113" s="285"/>
      <c r="BC113" s="285"/>
      <c r="BD113" s="285"/>
      <c r="BE113" s="280"/>
      <c r="BF113" s="284"/>
      <c r="BG113" s="285"/>
      <c r="BH113" s="285"/>
      <c r="BI113" s="285"/>
      <c r="BJ113" s="285"/>
      <c r="BK113" s="285"/>
      <c r="BL113" s="285"/>
      <c r="BM113" s="285"/>
      <c r="BN113" s="280"/>
      <c r="BO113" s="279"/>
      <c r="BP113" s="279"/>
      <c r="BQ113" s="279"/>
      <c r="BR113" s="278"/>
      <c r="BS113" s="279"/>
      <c r="BT113" s="279"/>
      <c r="BU113" s="279"/>
      <c r="BV113" s="279"/>
      <c r="BW113" s="279"/>
      <c r="BX113" s="279"/>
      <c r="BY113" s="279"/>
      <c r="BZ113" s="279"/>
      <c r="CA113" s="279"/>
      <c r="CB113" s="279"/>
      <c r="CC113" s="279"/>
      <c r="CD113" s="279"/>
      <c r="CE113" s="279"/>
    </row>
    <row r="114" spans="1:83">
      <c r="A114" s="278"/>
      <c r="B114" s="278"/>
      <c r="C114" s="279"/>
      <c r="D114" s="279"/>
      <c r="E114" s="279"/>
      <c r="F114" s="279"/>
      <c r="G114" s="279"/>
      <c r="H114" s="279"/>
      <c r="I114" s="279"/>
      <c r="J114" s="279"/>
      <c r="K114" s="279"/>
      <c r="L114" s="279"/>
      <c r="M114" s="279"/>
      <c r="N114" s="280"/>
      <c r="O114" s="279"/>
      <c r="P114" s="280"/>
      <c r="Q114" s="279"/>
      <c r="R114" s="279"/>
      <c r="S114" s="279"/>
      <c r="T114" s="279"/>
      <c r="U114" s="280"/>
      <c r="V114" s="279"/>
      <c r="W114" s="279"/>
      <c r="X114" s="279"/>
      <c r="Y114" s="279"/>
      <c r="Z114" s="280"/>
      <c r="AA114" s="279"/>
      <c r="AB114" s="279"/>
      <c r="AC114" s="279"/>
      <c r="AD114" s="279"/>
      <c r="AE114" s="279"/>
      <c r="AF114" s="279"/>
      <c r="AG114" s="279"/>
      <c r="AH114" s="279"/>
      <c r="AI114" s="279"/>
      <c r="AJ114" s="279"/>
      <c r="AK114" s="280"/>
      <c r="AL114" s="279"/>
      <c r="AM114" s="279"/>
      <c r="AN114" s="280"/>
      <c r="AO114" s="279"/>
      <c r="AP114" s="280"/>
      <c r="AQ114" s="279"/>
      <c r="AR114" s="285"/>
      <c r="AS114" s="279"/>
      <c r="AT114" s="279"/>
      <c r="AU114" s="279"/>
      <c r="AV114" s="279"/>
      <c r="AW114" s="284"/>
      <c r="AX114" s="285"/>
      <c r="AY114" s="285"/>
      <c r="AZ114" s="285"/>
      <c r="BA114" s="285"/>
      <c r="BB114" s="285"/>
      <c r="BC114" s="285"/>
      <c r="BD114" s="285"/>
      <c r="BE114" s="280"/>
      <c r="BF114" s="284"/>
      <c r="BG114" s="285"/>
      <c r="BH114" s="285"/>
      <c r="BI114" s="285"/>
      <c r="BJ114" s="285"/>
      <c r="BK114" s="285"/>
      <c r="BL114" s="285"/>
      <c r="BM114" s="285"/>
      <c r="BN114" s="280"/>
      <c r="BO114" s="279"/>
      <c r="BP114" s="279"/>
      <c r="BQ114" s="279"/>
      <c r="BR114" s="278"/>
      <c r="BS114" s="279"/>
      <c r="BT114" s="279"/>
      <c r="BU114" s="279"/>
      <c r="BV114" s="279"/>
      <c r="BW114" s="279"/>
      <c r="BX114" s="279"/>
      <c r="BY114" s="279"/>
      <c r="BZ114" s="279"/>
      <c r="CA114" s="279"/>
      <c r="CB114" s="279"/>
      <c r="CC114" s="279"/>
      <c r="CD114" s="279"/>
      <c r="CE114" s="279"/>
    </row>
    <row r="115" spans="1:83">
      <c r="A115" s="278"/>
      <c r="B115" s="278"/>
      <c r="C115" s="279"/>
      <c r="D115" s="279"/>
      <c r="E115" s="279"/>
      <c r="F115" s="279"/>
      <c r="G115" s="279"/>
      <c r="H115" s="279"/>
      <c r="I115" s="279"/>
      <c r="J115" s="279"/>
      <c r="K115" s="279"/>
      <c r="L115" s="279"/>
      <c r="M115" s="279"/>
      <c r="N115" s="280"/>
      <c r="O115" s="279"/>
      <c r="P115" s="280"/>
      <c r="Q115" s="279"/>
      <c r="R115" s="279"/>
      <c r="S115" s="279"/>
      <c r="T115" s="279"/>
      <c r="U115" s="280"/>
      <c r="V115" s="279"/>
      <c r="W115" s="279"/>
      <c r="X115" s="279"/>
      <c r="Y115" s="279"/>
      <c r="Z115" s="280"/>
      <c r="AA115" s="279"/>
      <c r="AB115" s="279"/>
      <c r="AC115" s="279"/>
      <c r="AD115" s="279"/>
      <c r="AE115" s="279"/>
      <c r="AF115" s="279"/>
      <c r="AG115" s="279"/>
      <c r="AH115" s="279"/>
      <c r="AI115" s="279"/>
      <c r="AJ115" s="279"/>
      <c r="AK115" s="280"/>
      <c r="AL115" s="279"/>
      <c r="AM115" s="279"/>
      <c r="AN115" s="280"/>
      <c r="AO115" s="279"/>
      <c r="AP115" s="280"/>
      <c r="AQ115" s="279"/>
      <c r="AR115" s="285"/>
      <c r="AS115" s="279"/>
      <c r="AT115" s="279"/>
      <c r="AU115" s="279"/>
      <c r="AV115" s="279"/>
      <c r="AW115" s="284"/>
      <c r="AX115" s="285"/>
      <c r="AY115" s="285"/>
      <c r="AZ115" s="285"/>
      <c r="BA115" s="285"/>
      <c r="BB115" s="285"/>
      <c r="BC115" s="285"/>
      <c r="BD115" s="285"/>
      <c r="BE115" s="280"/>
      <c r="BF115" s="284"/>
      <c r="BG115" s="285"/>
      <c r="BH115" s="285"/>
      <c r="BI115" s="285"/>
      <c r="BJ115" s="285"/>
      <c r="BK115" s="285"/>
      <c r="BL115" s="285"/>
      <c r="BM115" s="285"/>
      <c r="BN115" s="280"/>
      <c r="BO115" s="279"/>
      <c r="BP115" s="279"/>
      <c r="BQ115" s="279"/>
      <c r="BR115" s="278"/>
      <c r="BS115" s="279"/>
      <c r="BT115" s="279"/>
      <c r="BU115" s="279"/>
      <c r="BV115" s="279"/>
      <c r="BW115" s="279"/>
      <c r="BX115" s="279"/>
      <c r="BY115" s="279"/>
      <c r="BZ115" s="279"/>
      <c r="CA115" s="279"/>
      <c r="CB115" s="279"/>
      <c r="CC115" s="279"/>
      <c r="CD115" s="279"/>
      <c r="CE115" s="279"/>
    </row>
    <row r="116" spans="1:83">
      <c r="A116" s="278"/>
      <c r="B116" s="278"/>
      <c r="C116" s="279"/>
      <c r="D116" s="279"/>
      <c r="E116" s="279"/>
      <c r="F116" s="279"/>
      <c r="G116" s="279"/>
      <c r="H116" s="279"/>
      <c r="I116" s="279"/>
      <c r="J116" s="279"/>
      <c r="K116" s="279"/>
      <c r="L116" s="279"/>
      <c r="M116" s="279"/>
      <c r="N116" s="280"/>
      <c r="O116" s="279"/>
      <c r="P116" s="280"/>
      <c r="Q116" s="279"/>
      <c r="R116" s="279"/>
      <c r="S116" s="279"/>
      <c r="T116" s="279"/>
      <c r="U116" s="280"/>
      <c r="V116" s="279"/>
      <c r="W116" s="279"/>
      <c r="X116" s="279"/>
      <c r="Y116" s="279"/>
      <c r="Z116" s="280"/>
      <c r="AA116" s="279"/>
      <c r="AB116" s="279"/>
      <c r="AC116" s="279"/>
      <c r="AD116" s="279"/>
      <c r="AE116" s="279"/>
      <c r="AF116" s="279"/>
      <c r="AG116" s="279"/>
      <c r="AH116" s="279"/>
      <c r="AI116" s="279"/>
      <c r="AJ116" s="279"/>
      <c r="AK116" s="280"/>
      <c r="AL116" s="279"/>
      <c r="AM116" s="279"/>
      <c r="AN116" s="280"/>
      <c r="AO116" s="279"/>
      <c r="AP116" s="280"/>
      <c r="AQ116" s="279"/>
      <c r="AR116" s="285"/>
      <c r="AS116" s="279"/>
      <c r="AT116" s="279"/>
      <c r="AU116" s="279"/>
      <c r="AV116" s="279"/>
      <c r="AW116" s="284"/>
      <c r="AX116" s="285"/>
      <c r="AY116" s="285"/>
      <c r="AZ116" s="285"/>
      <c r="BA116" s="285"/>
      <c r="BB116" s="285"/>
      <c r="BC116" s="285"/>
      <c r="BD116" s="285"/>
      <c r="BE116" s="280"/>
      <c r="BF116" s="284"/>
      <c r="BG116" s="285"/>
      <c r="BH116" s="285"/>
      <c r="BI116" s="285"/>
      <c r="BJ116" s="285"/>
      <c r="BK116" s="285"/>
      <c r="BL116" s="285"/>
      <c r="BM116" s="285"/>
      <c r="BN116" s="280"/>
      <c r="BO116" s="279"/>
      <c r="BP116" s="279"/>
      <c r="BQ116" s="279"/>
      <c r="BR116" s="278"/>
      <c r="BS116" s="279"/>
      <c r="BT116" s="279"/>
      <c r="BU116" s="279"/>
      <c r="BV116" s="279"/>
      <c r="BW116" s="279"/>
      <c r="BX116" s="279"/>
      <c r="BY116" s="279"/>
      <c r="BZ116" s="279"/>
      <c r="CA116" s="279"/>
      <c r="CB116" s="279"/>
      <c r="CC116" s="279"/>
      <c r="CD116" s="279"/>
      <c r="CE116" s="279"/>
    </row>
    <row r="117" spans="1:83">
      <c r="A117" s="278"/>
      <c r="B117" s="278"/>
      <c r="C117" s="279"/>
      <c r="D117" s="279"/>
      <c r="E117" s="279"/>
      <c r="F117" s="279"/>
      <c r="G117" s="279"/>
      <c r="H117" s="279"/>
      <c r="I117" s="279"/>
      <c r="J117" s="279"/>
      <c r="K117" s="279"/>
      <c r="L117" s="279"/>
      <c r="M117" s="279"/>
      <c r="N117" s="280"/>
      <c r="O117" s="279"/>
      <c r="P117" s="280"/>
      <c r="Q117" s="279"/>
      <c r="R117" s="279"/>
      <c r="S117" s="279"/>
      <c r="T117" s="279"/>
      <c r="U117" s="280"/>
      <c r="V117" s="279"/>
      <c r="W117" s="279"/>
      <c r="X117" s="279"/>
      <c r="Y117" s="279"/>
      <c r="Z117" s="280"/>
      <c r="AA117" s="279"/>
      <c r="AB117" s="279"/>
      <c r="AC117" s="279"/>
      <c r="AD117" s="279"/>
      <c r="AE117" s="279"/>
      <c r="AF117" s="279"/>
      <c r="AG117" s="279"/>
      <c r="AH117" s="279"/>
      <c r="AI117" s="279"/>
      <c r="AJ117" s="279"/>
      <c r="AK117" s="280"/>
      <c r="AL117" s="279"/>
      <c r="AM117" s="279"/>
      <c r="AN117" s="280"/>
      <c r="AO117" s="279"/>
      <c r="AP117" s="280"/>
      <c r="AQ117" s="279"/>
      <c r="AR117" s="285"/>
      <c r="AS117" s="279"/>
      <c r="AT117" s="279"/>
      <c r="AU117" s="279"/>
      <c r="AV117" s="279"/>
      <c r="AW117" s="284"/>
      <c r="AX117" s="285"/>
      <c r="AY117" s="285"/>
      <c r="AZ117" s="285"/>
      <c r="BA117" s="285"/>
      <c r="BB117" s="285"/>
      <c r="BC117" s="285"/>
      <c r="BD117" s="285"/>
      <c r="BE117" s="280"/>
      <c r="BF117" s="284"/>
      <c r="BG117" s="285"/>
      <c r="BH117" s="285"/>
      <c r="BI117" s="285"/>
      <c r="BJ117" s="285"/>
      <c r="BK117" s="285"/>
      <c r="BL117" s="285"/>
      <c r="BM117" s="285"/>
      <c r="BN117" s="280"/>
      <c r="BO117" s="279"/>
      <c r="BP117" s="279"/>
      <c r="BQ117" s="279"/>
      <c r="BR117" s="278"/>
      <c r="BS117" s="279"/>
      <c r="BT117" s="279"/>
      <c r="BU117" s="279"/>
      <c r="BV117" s="279"/>
      <c r="BW117" s="279"/>
      <c r="BX117" s="279"/>
      <c r="BY117" s="279"/>
      <c r="BZ117" s="279"/>
      <c r="CA117" s="279"/>
      <c r="CB117" s="279"/>
      <c r="CC117" s="279"/>
      <c r="CD117" s="279"/>
      <c r="CE117" s="279"/>
    </row>
    <row r="118" spans="1:83">
      <c r="A118" s="278"/>
      <c r="B118" s="278"/>
      <c r="C118" s="279"/>
      <c r="D118" s="279"/>
      <c r="E118" s="279"/>
      <c r="F118" s="279"/>
      <c r="G118" s="279"/>
      <c r="H118" s="279"/>
      <c r="I118" s="279"/>
      <c r="J118" s="279"/>
      <c r="K118" s="279"/>
      <c r="L118" s="279"/>
      <c r="M118" s="279"/>
      <c r="N118" s="280"/>
      <c r="O118" s="279"/>
      <c r="P118" s="280"/>
      <c r="Q118" s="279"/>
      <c r="R118" s="279"/>
      <c r="S118" s="279"/>
      <c r="T118" s="279"/>
      <c r="U118" s="280"/>
      <c r="V118" s="279"/>
      <c r="W118" s="279"/>
      <c r="X118" s="279"/>
      <c r="Y118" s="279"/>
      <c r="Z118" s="280"/>
      <c r="AA118" s="279"/>
      <c r="AB118" s="279"/>
      <c r="AC118" s="279"/>
      <c r="AD118" s="279"/>
      <c r="AE118" s="279"/>
      <c r="AF118" s="279"/>
      <c r="AG118" s="279"/>
      <c r="AH118" s="279"/>
      <c r="AI118" s="279"/>
      <c r="AJ118" s="279"/>
      <c r="AK118" s="280"/>
      <c r="AL118" s="279"/>
      <c r="AM118" s="279"/>
      <c r="AN118" s="280"/>
      <c r="AO118" s="279"/>
      <c r="AP118" s="280"/>
      <c r="AQ118" s="279"/>
      <c r="AR118" s="285"/>
      <c r="AS118" s="279"/>
      <c r="AT118" s="279"/>
      <c r="AU118" s="279"/>
      <c r="AV118" s="279"/>
      <c r="AW118" s="284"/>
      <c r="AX118" s="285"/>
      <c r="AY118" s="285"/>
      <c r="AZ118" s="285"/>
      <c r="BA118" s="285"/>
      <c r="BB118" s="285"/>
      <c r="BC118" s="285"/>
      <c r="BD118" s="285"/>
      <c r="BE118" s="280"/>
      <c r="BF118" s="284"/>
      <c r="BG118" s="285"/>
      <c r="BH118" s="285"/>
      <c r="BI118" s="285"/>
      <c r="BJ118" s="285"/>
      <c r="BK118" s="285"/>
      <c r="BL118" s="285"/>
      <c r="BM118" s="285"/>
      <c r="BN118" s="280"/>
      <c r="BO118" s="279"/>
      <c r="BP118" s="279"/>
      <c r="BQ118" s="279"/>
      <c r="BR118" s="278"/>
      <c r="BS118" s="279"/>
      <c r="BT118" s="279"/>
      <c r="BU118" s="279"/>
      <c r="BV118" s="279"/>
      <c r="BW118" s="279"/>
      <c r="BX118" s="279"/>
      <c r="BY118" s="279"/>
      <c r="BZ118" s="279"/>
      <c r="CA118" s="279"/>
      <c r="CB118" s="279"/>
      <c r="CC118" s="279"/>
      <c r="CD118" s="279"/>
      <c r="CE118" s="279"/>
    </row>
    <row r="119" spans="1:83">
      <c r="A119" s="278"/>
      <c r="B119" s="278"/>
      <c r="C119" s="279"/>
      <c r="D119" s="279"/>
      <c r="E119" s="279"/>
      <c r="F119" s="279"/>
      <c r="G119" s="279"/>
      <c r="H119" s="279"/>
      <c r="I119" s="279"/>
      <c r="J119" s="279"/>
      <c r="K119" s="279"/>
      <c r="L119" s="279"/>
      <c r="M119" s="279"/>
      <c r="N119" s="280"/>
      <c r="O119" s="279"/>
      <c r="P119" s="280"/>
      <c r="Q119" s="279"/>
      <c r="R119" s="279"/>
      <c r="S119" s="279"/>
      <c r="T119" s="279"/>
      <c r="U119" s="280"/>
      <c r="V119" s="279"/>
      <c r="W119" s="279"/>
      <c r="X119" s="279"/>
      <c r="Y119" s="279"/>
      <c r="Z119" s="280"/>
      <c r="AA119" s="279"/>
      <c r="AB119" s="279"/>
      <c r="AC119" s="279"/>
      <c r="AD119" s="279"/>
      <c r="AE119" s="279"/>
      <c r="AF119" s="279"/>
      <c r="AG119" s="279"/>
      <c r="AH119" s="279"/>
      <c r="AI119" s="279"/>
      <c r="AJ119" s="279"/>
      <c r="AK119" s="280"/>
      <c r="AL119" s="279"/>
      <c r="AM119" s="279"/>
      <c r="AN119" s="280"/>
      <c r="AO119" s="279"/>
      <c r="AP119" s="280"/>
      <c r="AQ119" s="279"/>
      <c r="AR119" s="285"/>
      <c r="AS119" s="279"/>
      <c r="AT119" s="279"/>
      <c r="AU119" s="279"/>
      <c r="AV119" s="279"/>
      <c r="AW119" s="284"/>
      <c r="AX119" s="285"/>
      <c r="AY119" s="285"/>
      <c r="AZ119" s="285"/>
      <c r="BA119" s="285"/>
      <c r="BB119" s="285"/>
      <c r="BC119" s="285"/>
      <c r="BD119" s="285"/>
      <c r="BE119" s="280"/>
      <c r="BF119" s="284"/>
      <c r="BG119" s="285"/>
      <c r="BH119" s="285"/>
      <c r="BI119" s="285"/>
      <c r="BJ119" s="285"/>
      <c r="BK119" s="285"/>
      <c r="BL119" s="285"/>
      <c r="BM119" s="285"/>
      <c r="BN119" s="280"/>
      <c r="BO119" s="279"/>
      <c r="BP119" s="279"/>
      <c r="BQ119" s="279"/>
      <c r="BR119" s="278"/>
      <c r="BS119" s="279"/>
      <c r="BT119" s="279"/>
      <c r="BU119" s="279"/>
      <c r="BV119" s="279"/>
      <c r="BW119" s="279"/>
      <c r="BX119" s="279"/>
      <c r="BY119" s="279"/>
      <c r="BZ119" s="279"/>
      <c r="CA119" s="279"/>
      <c r="CB119" s="279"/>
      <c r="CC119" s="279"/>
      <c r="CD119" s="279"/>
      <c r="CE119" s="279"/>
    </row>
    <row r="120" spans="1:83">
      <c r="A120" s="278"/>
      <c r="B120" s="278"/>
      <c r="C120" s="279"/>
      <c r="D120" s="279"/>
      <c r="E120" s="279"/>
      <c r="F120" s="279"/>
      <c r="G120" s="279"/>
      <c r="H120" s="279"/>
      <c r="I120" s="279"/>
      <c r="J120" s="279"/>
      <c r="K120" s="279"/>
      <c r="L120" s="279"/>
      <c r="M120" s="279"/>
      <c r="N120" s="280"/>
      <c r="O120" s="279"/>
      <c r="P120" s="280"/>
      <c r="Q120" s="279"/>
      <c r="R120" s="279"/>
      <c r="S120" s="279"/>
      <c r="T120" s="279"/>
      <c r="U120" s="280"/>
      <c r="V120" s="279"/>
      <c r="W120" s="279"/>
      <c r="X120" s="279"/>
      <c r="Y120" s="279"/>
      <c r="Z120" s="280"/>
      <c r="AA120" s="279"/>
      <c r="AB120" s="279"/>
      <c r="AC120" s="279"/>
      <c r="AD120" s="279"/>
      <c r="AE120" s="279"/>
      <c r="AF120" s="279"/>
      <c r="AG120" s="279"/>
      <c r="AH120" s="279"/>
      <c r="AI120" s="279"/>
      <c r="AJ120" s="279"/>
      <c r="AK120" s="280"/>
      <c r="AL120" s="279"/>
      <c r="AM120" s="279"/>
      <c r="AN120" s="280"/>
      <c r="AO120" s="279"/>
      <c r="AP120" s="280"/>
      <c r="AQ120" s="279"/>
      <c r="AR120" s="285"/>
      <c r="AS120" s="279"/>
      <c r="AT120" s="279"/>
      <c r="AU120" s="279"/>
      <c r="AV120" s="279"/>
      <c r="AW120" s="284"/>
      <c r="AX120" s="285"/>
      <c r="AY120" s="285"/>
      <c r="AZ120" s="285"/>
      <c r="BA120" s="285"/>
      <c r="BB120" s="285"/>
      <c r="BC120" s="285"/>
      <c r="BD120" s="285"/>
      <c r="BE120" s="280"/>
      <c r="BF120" s="284"/>
      <c r="BG120" s="285"/>
      <c r="BH120" s="285"/>
      <c r="BI120" s="285"/>
      <c r="BJ120" s="285"/>
      <c r="BK120" s="285"/>
      <c r="BL120" s="285"/>
      <c r="BM120" s="285"/>
      <c r="BN120" s="280"/>
      <c r="BO120" s="279"/>
      <c r="BP120" s="279"/>
      <c r="BQ120" s="279"/>
      <c r="BR120" s="278"/>
      <c r="BS120" s="279"/>
      <c r="BT120" s="279"/>
      <c r="BU120" s="279"/>
      <c r="BV120" s="279"/>
      <c r="BW120" s="279"/>
      <c r="BX120" s="279"/>
      <c r="BY120" s="279"/>
      <c r="BZ120" s="279"/>
      <c r="CA120" s="279"/>
      <c r="CB120" s="279"/>
      <c r="CC120" s="279"/>
      <c r="CD120" s="279"/>
      <c r="CE120" s="279"/>
    </row>
    <row r="121" spans="1:83">
      <c r="A121" s="278"/>
      <c r="B121" s="278"/>
      <c r="C121" s="279"/>
      <c r="D121" s="279"/>
      <c r="E121" s="279"/>
      <c r="F121" s="279"/>
      <c r="G121" s="279"/>
      <c r="H121" s="279"/>
      <c r="I121" s="279"/>
      <c r="J121" s="279"/>
      <c r="K121" s="279"/>
      <c r="L121" s="279"/>
      <c r="M121" s="279"/>
      <c r="N121" s="280"/>
      <c r="O121" s="279"/>
      <c r="P121" s="280"/>
      <c r="Q121" s="279"/>
      <c r="R121" s="279"/>
      <c r="S121" s="279"/>
      <c r="T121" s="279"/>
      <c r="U121" s="280"/>
      <c r="V121" s="279"/>
      <c r="W121" s="279"/>
      <c r="X121" s="279"/>
      <c r="Y121" s="279"/>
      <c r="Z121" s="280"/>
      <c r="AA121" s="279"/>
      <c r="AB121" s="279"/>
      <c r="AC121" s="279"/>
      <c r="AD121" s="279"/>
      <c r="AE121" s="279"/>
      <c r="AF121" s="279"/>
      <c r="AG121" s="279"/>
      <c r="AH121" s="279"/>
      <c r="AI121" s="279"/>
      <c r="AJ121" s="279"/>
      <c r="AK121" s="280"/>
      <c r="AL121" s="279"/>
      <c r="AM121" s="279"/>
      <c r="AN121" s="280"/>
      <c r="AO121" s="279"/>
      <c r="AP121" s="280"/>
      <c r="AQ121" s="279"/>
      <c r="AR121" s="285"/>
      <c r="AS121" s="279"/>
      <c r="AT121" s="279"/>
      <c r="AU121" s="279"/>
      <c r="AV121" s="279"/>
      <c r="AW121" s="284"/>
      <c r="AX121" s="285"/>
      <c r="AY121" s="285"/>
      <c r="AZ121" s="285"/>
      <c r="BA121" s="285"/>
      <c r="BB121" s="285"/>
      <c r="BC121" s="285"/>
      <c r="BD121" s="285"/>
      <c r="BE121" s="280"/>
      <c r="BF121" s="284"/>
      <c r="BG121" s="285"/>
      <c r="BH121" s="285"/>
      <c r="BI121" s="285"/>
      <c r="BJ121" s="285"/>
      <c r="BK121" s="285"/>
      <c r="BL121" s="285"/>
      <c r="BM121" s="285"/>
      <c r="BN121" s="280"/>
      <c r="BO121" s="279"/>
      <c r="BP121" s="279"/>
      <c r="BQ121" s="279"/>
      <c r="BR121" s="278"/>
      <c r="BS121" s="279"/>
      <c r="BT121" s="279"/>
      <c r="BU121" s="279"/>
      <c r="BV121" s="279"/>
      <c r="BW121" s="279"/>
      <c r="BX121" s="279"/>
      <c r="BY121" s="279"/>
      <c r="BZ121" s="279"/>
      <c r="CA121" s="279"/>
      <c r="CB121" s="279"/>
      <c r="CC121" s="279"/>
      <c r="CD121" s="279"/>
      <c r="CE121" s="279"/>
    </row>
    <row r="122" spans="1:83">
      <c r="A122" s="278"/>
      <c r="B122" s="278"/>
      <c r="C122" s="279"/>
      <c r="D122" s="279"/>
      <c r="E122" s="279"/>
      <c r="F122" s="279"/>
      <c r="G122" s="279"/>
      <c r="H122" s="279"/>
      <c r="I122" s="279"/>
      <c r="J122" s="279"/>
      <c r="K122" s="279"/>
      <c r="L122" s="279"/>
      <c r="M122" s="279"/>
      <c r="N122" s="280"/>
      <c r="O122" s="279"/>
      <c r="P122" s="280"/>
      <c r="Q122" s="279"/>
      <c r="R122" s="279"/>
      <c r="S122" s="279"/>
      <c r="T122" s="279"/>
      <c r="U122" s="280"/>
      <c r="V122" s="279"/>
      <c r="W122" s="279"/>
      <c r="X122" s="279"/>
      <c r="Y122" s="279"/>
      <c r="Z122" s="280"/>
      <c r="AA122" s="279"/>
      <c r="AB122" s="279"/>
      <c r="AC122" s="279"/>
      <c r="AD122" s="279"/>
      <c r="AE122" s="279"/>
      <c r="AF122" s="279"/>
      <c r="AG122" s="279"/>
      <c r="AH122" s="279"/>
      <c r="AI122" s="279"/>
      <c r="AJ122" s="279"/>
      <c r="AK122" s="280"/>
      <c r="AL122" s="279"/>
      <c r="AM122" s="279"/>
      <c r="AN122" s="280"/>
      <c r="AO122" s="279"/>
      <c r="AP122" s="280"/>
      <c r="AQ122" s="279"/>
      <c r="AR122" s="285"/>
      <c r="AS122" s="279"/>
      <c r="AT122" s="279"/>
      <c r="AU122" s="279"/>
      <c r="AV122" s="279"/>
      <c r="AW122" s="284"/>
      <c r="AX122" s="285"/>
      <c r="AY122" s="285"/>
      <c r="AZ122" s="285"/>
      <c r="BA122" s="285"/>
      <c r="BB122" s="285"/>
      <c r="BC122" s="285"/>
      <c r="BD122" s="285"/>
      <c r="BE122" s="280"/>
      <c r="BF122" s="284"/>
      <c r="BG122" s="285"/>
      <c r="BH122" s="285"/>
      <c r="BI122" s="285"/>
      <c r="BJ122" s="285"/>
      <c r="BK122" s="285"/>
      <c r="BL122" s="285"/>
      <c r="BM122" s="285"/>
      <c r="BN122" s="280"/>
      <c r="BO122" s="279"/>
      <c r="BP122" s="279"/>
      <c r="BQ122" s="279"/>
      <c r="BR122" s="278"/>
      <c r="BS122" s="279"/>
      <c r="BT122" s="279"/>
      <c r="BU122" s="279"/>
      <c r="BV122" s="279"/>
      <c r="BW122" s="279"/>
      <c r="BX122" s="279"/>
      <c r="BY122" s="279"/>
      <c r="BZ122" s="279"/>
      <c r="CA122" s="279"/>
      <c r="CB122" s="279"/>
      <c r="CC122" s="279"/>
      <c r="CD122" s="279"/>
      <c r="CE122" s="279"/>
    </row>
    <row r="123" spans="1:83">
      <c r="A123" s="278"/>
      <c r="B123" s="278"/>
      <c r="C123" s="279"/>
      <c r="D123" s="279"/>
      <c r="E123" s="279"/>
      <c r="F123" s="279"/>
      <c r="G123" s="279"/>
      <c r="H123" s="279"/>
      <c r="I123" s="279"/>
      <c r="J123" s="279"/>
      <c r="K123" s="279"/>
      <c r="L123" s="279"/>
      <c r="M123" s="279"/>
      <c r="N123" s="280"/>
      <c r="O123" s="279"/>
      <c r="P123" s="280"/>
      <c r="Q123" s="279"/>
      <c r="R123" s="279"/>
      <c r="S123" s="279"/>
      <c r="T123" s="279"/>
      <c r="U123" s="280"/>
      <c r="V123" s="279"/>
      <c r="W123" s="279"/>
      <c r="X123" s="279"/>
      <c r="Y123" s="279"/>
      <c r="Z123" s="280"/>
      <c r="AA123" s="279"/>
      <c r="AB123" s="279"/>
      <c r="AC123" s="279"/>
      <c r="AD123" s="279"/>
      <c r="AE123" s="279"/>
      <c r="AF123" s="279"/>
      <c r="AG123" s="279"/>
      <c r="AH123" s="279"/>
      <c r="AI123" s="279"/>
      <c r="AJ123" s="279"/>
      <c r="AK123" s="280"/>
      <c r="AL123" s="279"/>
      <c r="AM123" s="279"/>
      <c r="AN123" s="280"/>
      <c r="AO123" s="279"/>
      <c r="AP123" s="280"/>
      <c r="AQ123" s="279"/>
      <c r="AR123" s="285"/>
      <c r="AS123" s="279"/>
      <c r="AT123" s="279"/>
      <c r="AU123" s="279"/>
      <c r="AV123" s="279"/>
      <c r="AW123" s="284"/>
      <c r="AX123" s="285"/>
      <c r="AY123" s="285"/>
      <c r="AZ123" s="285"/>
      <c r="BA123" s="285"/>
      <c r="BB123" s="285"/>
      <c r="BC123" s="285"/>
      <c r="BD123" s="285"/>
      <c r="BE123" s="280"/>
      <c r="BF123" s="284"/>
      <c r="BG123" s="285"/>
      <c r="BH123" s="285"/>
      <c r="BI123" s="285"/>
      <c r="BJ123" s="285"/>
      <c r="BK123" s="285"/>
      <c r="BL123" s="285"/>
      <c r="BM123" s="285"/>
      <c r="BN123" s="280"/>
      <c r="BO123" s="279"/>
      <c r="BP123" s="279"/>
      <c r="BQ123" s="279"/>
      <c r="BR123" s="278"/>
      <c r="BS123" s="279"/>
      <c r="BT123" s="279"/>
      <c r="BU123" s="279"/>
      <c r="BV123" s="279"/>
      <c r="BW123" s="279"/>
      <c r="BX123" s="279"/>
      <c r="BY123" s="279"/>
      <c r="BZ123" s="279"/>
      <c r="CA123" s="279"/>
      <c r="CB123" s="279"/>
      <c r="CC123" s="279"/>
      <c r="CD123" s="279"/>
      <c r="CE123" s="279"/>
    </row>
    <row r="124" spans="1:83">
      <c r="A124" s="278"/>
      <c r="B124" s="278"/>
      <c r="C124" s="279"/>
      <c r="D124" s="279"/>
      <c r="E124" s="279"/>
      <c r="F124" s="279"/>
      <c r="G124" s="279"/>
      <c r="H124" s="279"/>
      <c r="I124" s="279"/>
      <c r="J124" s="279"/>
      <c r="K124" s="279"/>
      <c r="L124" s="279"/>
      <c r="M124" s="279"/>
      <c r="N124" s="280"/>
      <c r="O124" s="279"/>
      <c r="P124" s="280"/>
      <c r="Q124" s="279"/>
      <c r="R124" s="279"/>
      <c r="S124" s="279"/>
      <c r="T124" s="279"/>
      <c r="U124" s="280"/>
      <c r="V124" s="279"/>
      <c r="W124" s="279"/>
      <c r="X124" s="279"/>
      <c r="Y124" s="279"/>
      <c r="Z124" s="280"/>
      <c r="AA124" s="279"/>
      <c r="AB124" s="279"/>
      <c r="AC124" s="279"/>
      <c r="AD124" s="279"/>
      <c r="AE124" s="279"/>
      <c r="AF124" s="279"/>
      <c r="AG124" s="279"/>
      <c r="AH124" s="279"/>
      <c r="AI124" s="279"/>
      <c r="AJ124" s="279"/>
      <c r="AK124" s="280"/>
      <c r="AL124" s="279"/>
      <c r="AM124" s="279"/>
      <c r="AN124" s="280"/>
      <c r="AO124" s="279"/>
      <c r="AP124" s="280"/>
      <c r="AQ124" s="279"/>
      <c r="AR124" s="285"/>
      <c r="AS124" s="279"/>
      <c r="AT124" s="279"/>
      <c r="AU124" s="279"/>
      <c r="AV124" s="279"/>
      <c r="AW124" s="284"/>
      <c r="AX124" s="285"/>
      <c r="AY124" s="285"/>
      <c r="AZ124" s="285"/>
      <c r="BA124" s="285"/>
      <c r="BB124" s="285"/>
      <c r="BC124" s="285"/>
      <c r="BD124" s="285"/>
      <c r="BE124" s="280"/>
      <c r="BF124" s="284"/>
      <c r="BG124" s="285"/>
      <c r="BH124" s="285"/>
      <c r="BI124" s="285"/>
      <c r="BJ124" s="285"/>
      <c r="BK124" s="285"/>
      <c r="BL124" s="285"/>
      <c r="BM124" s="285"/>
      <c r="BN124" s="280"/>
      <c r="BO124" s="279"/>
      <c r="BP124" s="279"/>
      <c r="BQ124" s="279"/>
      <c r="BR124" s="278"/>
      <c r="BS124" s="279"/>
      <c r="BT124" s="279"/>
      <c r="BU124" s="279"/>
      <c r="BV124" s="279"/>
      <c r="BW124" s="279"/>
      <c r="BX124" s="279"/>
      <c r="BY124" s="279"/>
      <c r="BZ124" s="279"/>
      <c r="CA124" s="279"/>
      <c r="CB124" s="279"/>
      <c r="CC124" s="279"/>
      <c r="CD124" s="279"/>
      <c r="CE124" s="279"/>
    </row>
    <row r="125" spans="1:83">
      <c r="A125" s="278"/>
      <c r="B125" s="278"/>
      <c r="C125" s="279"/>
      <c r="D125" s="279"/>
      <c r="E125" s="279"/>
      <c r="F125" s="279"/>
      <c r="G125" s="279"/>
      <c r="H125" s="279"/>
      <c r="I125" s="279"/>
      <c r="J125" s="279"/>
      <c r="K125" s="279"/>
      <c r="L125" s="279"/>
      <c r="M125" s="279"/>
      <c r="N125" s="280"/>
      <c r="O125" s="279"/>
      <c r="P125" s="280"/>
      <c r="Q125" s="279"/>
      <c r="R125" s="279"/>
      <c r="S125" s="279"/>
      <c r="T125" s="279"/>
      <c r="U125" s="280"/>
      <c r="V125" s="279"/>
      <c r="W125" s="279"/>
      <c r="X125" s="279"/>
      <c r="Y125" s="279"/>
      <c r="Z125" s="280"/>
      <c r="AA125" s="279"/>
      <c r="AB125" s="279"/>
      <c r="AC125" s="279"/>
      <c r="AD125" s="279"/>
      <c r="AE125" s="279"/>
      <c r="AF125" s="279"/>
      <c r="AG125" s="279"/>
      <c r="AH125" s="279"/>
      <c r="AI125" s="279"/>
      <c r="AJ125" s="279"/>
      <c r="AK125" s="280"/>
      <c r="AL125" s="279"/>
      <c r="AM125" s="279"/>
      <c r="AN125" s="280"/>
      <c r="AO125" s="279"/>
      <c r="AP125" s="280"/>
      <c r="AQ125" s="279"/>
      <c r="AR125" s="285"/>
      <c r="AS125" s="279"/>
      <c r="AT125" s="279"/>
      <c r="AU125" s="279"/>
      <c r="AV125" s="279"/>
      <c r="AW125" s="284"/>
      <c r="AX125" s="285"/>
      <c r="AY125" s="285"/>
      <c r="AZ125" s="285"/>
      <c r="BA125" s="285"/>
      <c r="BB125" s="285"/>
      <c r="BC125" s="285"/>
      <c r="BD125" s="285"/>
      <c r="BE125" s="280"/>
      <c r="BF125" s="284"/>
      <c r="BG125" s="285"/>
      <c r="BH125" s="285"/>
      <c r="BI125" s="285"/>
      <c r="BJ125" s="285"/>
      <c r="BK125" s="285"/>
      <c r="BL125" s="285"/>
      <c r="BM125" s="285"/>
      <c r="BN125" s="280"/>
      <c r="BO125" s="279"/>
      <c r="BP125" s="279"/>
      <c r="BQ125" s="279"/>
      <c r="BR125" s="278"/>
      <c r="BS125" s="279"/>
      <c r="BT125" s="279"/>
      <c r="BU125" s="279"/>
      <c r="BV125" s="279"/>
      <c r="BW125" s="279"/>
      <c r="BX125" s="279"/>
      <c r="BY125" s="279"/>
      <c r="BZ125" s="279"/>
      <c r="CA125" s="279"/>
      <c r="CB125" s="279"/>
      <c r="CC125" s="279"/>
      <c r="CD125" s="279"/>
      <c r="CE125" s="279"/>
    </row>
    <row r="126" spans="1:83">
      <c r="A126" s="278"/>
      <c r="B126" s="278"/>
      <c r="C126" s="279"/>
      <c r="D126" s="279"/>
      <c r="E126" s="279"/>
      <c r="F126" s="279"/>
      <c r="G126" s="279"/>
      <c r="H126" s="279"/>
      <c r="I126" s="279"/>
      <c r="J126" s="279"/>
      <c r="K126" s="279"/>
      <c r="L126" s="279"/>
      <c r="M126" s="279"/>
      <c r="N126" s="280"/>
      <c r="O126" s="279"/>
      <c r="P126" s="280"/>
      <c r="Q126" s="279"/>
      <c r="R126" s="279"/>
      <c r="S126" s="279"/>
      <c r="T126" s="279"/>
      <c r="U126" s="280"/>
      <c r="V126" s="279"/>
      <c r="W126" s="279"/>
      <c r="X126" s="279"/>
      <c r="Y126" s="279"/>
      <c r="Z126" s="280"/>
      <c r="AA126" s="279"/>
      <c r="AB126" s="279"/>
      <c r="AC126" s="279"/>
      <c r="AD126" s="279"/>
      <c r="AE126" s="279"/>
      <c r="AF126" s="279"/>
      <c r="AG126" s="279"/>
      <c r="AH126" s="279"/>
      <c r="AI126" s="279"/>
      <c r="AJ126" s="279"/>
      <c r="AK126" s="280"/>
      <c r="AL126" s="279"/>
      <c r="AM126" s="279"/>
      <c r="AN126" s="280"/>
      <c r="AO126" s="279"/>
      <c r="AP126" s="280"/>
      <c r="AQ126" s="279"/>
      <c r="AR126" s="285"/>
      <c r="AS126" s="279"/>
      <c r="AT126" s="279"/>
      <c r="AU126" s="279"/>
      <c r="AV126" s="279"/>
      <c r="AW126" s="284"/>
      <c r="AX126" s="285"/>
      <c r="AY126" s="285"/>
      <c r="AZ126" s="285"/>
      <c r="BA126" s="285"/>
      <c r="BB126" s="285"/>
      <c r="BC126" s="285"/>
      <c r="BD126" s="285"/>
      <c r="BE126" s="280"/>
      <c r="BF126" s="284"/>
      <c r="BG126" s="285"/>
      <c r="BH126" s="285"/>
      <c r="BI126" s="285"/>
      <c r="BJ126" s="285"/>
      <c r="BK126" s="285"/>
      <c r="BL126" s="285"/>
      <c r="BM126" s="285"/>
      <c r="BN126" s="280"/>
      <c r="BO126" s="279"/>
      <c r="BP126" s="279"/>
      <c r="BQ126" s="279"/>
      <c r="BR126" s="278"/>
      <c r="BS126" s="279"/>
      <c r="BT126" s="279"/>
      <c r="BU126" s="279"/>
      <c r="BV126" s="279"/>
      <c r="BW126" s="279"/>
      <c r="BX126" s="279"/>
      <c r="BY126" s="279"/>
      <c r="BZ126" s="279"/>
      <c r="CA126" s="279"/>
      <c r="CB126" s="279"/>
      <c r="CC126" s="279"/>
      <c r="CD126" s="279"/>
      <c r="CE126" s="279"/>
    </row>
    <row r="127" spans="1:83">
      <c r="A127" s="278"/>
      <c r="B127" s="278"/>
      <c r="C127" s="279"/>
      <c r="D127" s="279"/>
      <c r="E127" s="279"/>
      <c r="F127" s="279"/>
      <c r="G127" s="279"/>
      <c r="H127" s="279"/>
      <c r="I127" s="279"/>
      <c r="J127" s="279"/>
      <c r="K127" s="279"/>
      <c r="L127" s="279"/>
      <c r="M127" s="279"/>
      <c r="N127" s="280"/>
      <c r="O127" s="279"/>
      <c r="P127" s="280"/>
      <c r="Q127" s="279"/>
      <c r="R127" s="279"/>
      <c r="S127" s="279"/>
      <c r="T127" s="279"/>
      <c r="U127" s="280"/>
      <c r="V127" s="279"/>
      <c r="W127" s="279"/>
      <c r="X127" s="279"/>
      <c r="Y127" s="279"/>
      <c r="Z127" s="280"/>
      <c r="AA127" s="279"/>
      <c r="AB127" s="279"/>
      <c r="AC127" s="279"/>
      <c r="AD127" s="279"/>
      <c r="AE127" s="279"/>
      <c r="AF127" s="279"/>
      <c r="AG127" s="279"/>
      <c r="AH127" s="279"/>
      <c r="AI127" s="279"/>
      <c r="AJ127" s="279"/>
      <c r="AK127" s="280"/>
      <c r="AL127" s="279"/>
      <c r="AM127" s="279"/>
      <c r="AN127" s="280"/>
      <c r="AO127" s="279"/>
      <c r="AP127" s="280"/>
      <c r="AQ127" s="279"/>
      <c r="AR127" s="285"/>
      <c r="AS127" s="279"/>
      <c r="AT127" s="279"/>
      <c r="AU127" s="279"/>
      <c r="AV127" s="279"/>
      <c r="AW127" s="284"/>
      <c r="AX127" s="285"/>
      <c r="AY127" s="285"/>
      <c r="AZ127" s="285"/>
      <c r="BA127" s="285"/>
      <c r="BB127" s="285"/>
      <c r="BC127" s="285"/>
      <c r="BD127" s="285"/>
      <c r="BE127" s="280"/>
      <c r="BF127" s="284"/>
      <c r="BG127" s="285"/>
      <c r="BH127" s="285"/>
      <c r="BI127" s="285"/>
      <c r="BJ127" s="285"/>
      <c r="BK127" s="285"/>
      <c r="BL127" s="285"/>
      <c r="BM127" s="285"/>
      <c r="BN127" s="280"/>
      <c r="BO127" s="279"/>
      <c r="BP127" s="279"/>
      <c r="BQ127" s="279"/>
      <c r="BR127" s="278"/>
      <c r="BS127" s="279"/>
      <c r="BT127" s="279"/>
      <c r="BU127" s="279"/>
      <c r="BV127" s="279"/>
      <c r="BW127" s="279"/>
      <c r="BX127" s="279"/>
      <c r="BY127" s="279"/>
      <c r="BZ127" s="279"/>
      <c r="CA127" s="279"/>
      <c r="CB127" s="279"/>
      <c r="CC127" s="279"/>
      <c r="CD127" s="279"/>
      <c r="CE127" s="279"/>
    </row>
    <row r="128" spans="1:83">
      <c r="A128" s="278"/>
      <c r="B128" s="278"/>
      <c r="C128" s="279"/>
      <c r="D128" s="279"/>
      <c r="E128" s="279"/>
      <c r="F128" s="279"/>
      <c r="G128" s="279"/>
      <c r="H128" s="279"/>
      <c r="I128" s="279"/>
      <c r="J128" s="279"/>
      <c r="K128" s="279"/>
      <c r="L128" s="279"/>
      <c r="M128" s="279"/>
      <c r="N128" s="280"/>
      <c r="O128" s="279"/>
      <c r="P128" s="280"/>
      <c r="Q128" s="279"/>
      <c r="R128" s="279"/>
      <c r="S128" s="279"/>
      <c r="T128" s="279"/>
      <c r="U128" s="280"/>
      <c r="V128" s="279"/>
      <c r="W128" s="279"/>
      <c r="X128" s="279"/>
      <c r="Y128" s="279"/>
      <c r="Z128" s="280"/>
      <c r="AA128" s="279"/>
      <c r="AB128" s="279"/>
      <c r="AC128" s="279"/>
      <c r="AD128" s="279"/>
      <c r="AE128" s="279"/>
      <c r="AF128" s="279"/>
      <c r="AG128" s="279"/>
      <c r="AH128" s="279"/>
      <c r="AI128" s="279"/>
      <c r="AJ128" s="279"/>
      <c r="AK128" s="280"/>
      <c r="AL128" s="279"/>
      <c r="AM128" s="279"/>
      <c r="AN128" s="280"/>
      <c r="AO128" s="279"/>
      <c r="AP128" s="280"/>
      <c r="AQ128" s="279"/>
      <c r="AR128" s="285"/>
      <c r="AS128" s="279"/>
      <c r="AT128" s="279"/>
      <c r="AU128" s="279"/>
      <c r="AV128" s="279"/>
      <c r="AW128" s="284"/>
      <c r="AX128" s="285"/>
      <c r="AY128" s="285"/>
      <c r="AZ128" s="285"/>
      <c r="BA128" s="285"/>
      <c r="BB128" s="285"/>
      <c r="BC128" s="285"/>
      <c r="BD128" s="285"/>
      <c r="BE128" s="280"/>
      <c r="BF128" s="284"/>
      <c r="BG128" s="285"/>
      <c r="BH128" s="285"/>
      <c r="BI128" s="285"/>
      <c r="BJ128" s="285"/>
      <c r="BK128" s="285"/>
      <c r="BL128" s="285"/>
      <c r="BM128" s="285"/>
      <c r="BN128" s="280"/>
      <c r="BO128" s="279"/>
      <c r="BP128" s="279"/>
      <c r="BQ128" s="279"/>
      <c r="BR128" s="278"/>
      <c r="BS128" s="279"/>
      <c r="BT128" s="279"/>
      <c r="BU128" s="279"/>
      <c r="BV128" s="279"/>
      <c r="BW128" s="279"/>
      <c r="BX128" s="279"/>
      <c r="BY128" s="279"/>
      <c r="BZ128" s="279"/>
      <c r="CA128" s="279"/>
      <c r="CB128" s="279"/>
      <c r="CC128" s="279"/>
      <c r="CD128" s="279"/>
      <c r="CE128" s="279"/>
    </row>
    <row r="129" spans="1:83">
      <c r="A129" s="278"/>
      <c r="B129" s="278"/>
      <c r="C129" s="279"/>
      <c r="D129" s="279"/>
      <c r="E129" s="279"/>
      <c r="F129" s="279"/>
      <c r="G129" s="279"/>
      <c r="H129" s="279"/>
      <c r="I129" s="279"/>
      <c r="J129" s="279"/>
      <c r="K129" s="279"/>
      <c r="L129" s="279"/>
      <c r="M129" s="279"/>
      <c r="N129" s="280"/>
      <c r="O129" s="279"/>
      <c r="P129" s="280"/>
      <c r="Q129" s="279"/>
      <c r="R129" s="279"/>
      <c r="S129" s="279"/>
      <c r="T129" s="279"/>
      <c r="U129" s="280"/>
      <c r="V129" s="279"/>
      <c r="W129" s="279"/>
      <c r="X129" s="279"/>
      <c r="Y129" s="279"/>
      <c r="Z129" s="280"/>
      <c r="AA129" s="279"/>
      <c r="AB129" s="279"/>
      <c r="AC129" s="279"/>
      <c r="AD129" s="279"/>
      <c r="AE129" s="279"/>
      <c r="AF129" s="279"/>
      <c r="AG129" s="279"/>
      <c r="AH129" s="279"/>
      <c r="AI129" s="279"/>
      <c r="AJ129" s="279"/>
      <c r="AK129" s="280"/>
      <c r="AL129" s="279"/>
      <c r="AM129" s="279"/>
      <c r="AN129" s="280"/>
      <c r="AO129" s="279"/>
      <c r="AP129" s="280"/>
      <c r="AQ129" s="279"/>
      <c r="AR129" s="285"/>
      <c r="AS129" s="279"/>
      <c r="AT129" s="279"/>
      <c r="AU129" s="279"/>
      <c r="AV129" s="279"/>
      <c r="AW129" s="284"/>
      <c r="AX129" s="285"/>
      <c r="AY129" s="285"/>
      <c r="AZ129" s="285"/>
      <c r="BA129" s="285"/>
      <c r="BB129" s="285"/>
      <c r="BC129" s="285"/>
      <c r="BD129" s="285"/>
      <c r="BE129" s="280"/>
      <c r="BF129" s="284"/>
      <c r="BG129" s="285"/>
      <c r="BH129" s="285"/>
      <c r="BI129" s="285"/>
      <c r="BJ129" s="285"/>
      <c r="BK129" s="285"/>
      <c r="BL129" s="285"/>
      <c r="BM129" s="285"/>
      <c r="BN129" s="280"/>
      <c r="BO129" s="279"/>
      <c r="BP129" s="279"/>
      <c r="BQ129" s="279"/>
      <c r="BR129" s="278"/>
      <c r="BS129" s="279"/>
      <c r="BT129" s="279"/>
      <c r="BU129" s="279"/>
      <c r="BV129" s="279"/>
      <c r="BW129" s="279"/>
      <c r="BX129" s="279"/>
      <c r="BY129" s="279"/>
      <c r="BZ129" s="279"/>
      <c r="CA129" s="279"/>
      <c r="CB129" s="279"/>
      <c r="CC129" s="279"/>
      <c r="CD129" s="279"/>
      <c r="CE129" s="279"/>
    </row>
    <row r="130" spans="1:83">
      <c r="A130" s="278"/>
      <c r="B130" s="278"/>
      <c r="C130" s="279"/>
      <c r="D130" s="279"/>
      <c r="E130" s="279"/>
      <c r="F130" s="279"/>
      <c r="G130" s="279"/>
      <c r="H130" s="279"/>
      <c r="I130" s="279"/>
      <c r="J130" s="279"/>
      <c r="K130" s="279"/>
      <c r="L130" s="279"/>
      <c r="M130" s="279"/>
      <c r="N130" s="280"/>
      <c r="O130" s="279"/>
      <c r="P130" s="280"/>
      <c r="Q130" s="279"/>
      <c r="R130" s="279"/>
      <c r="S130" s="279"/>
      <c r="T130" s="279"/>
      <c r="U130" s="280"/>
      <c r="V130" s="279"/>
      <c r="W130" s="279"/>
      <c r="X130" s="279"/>
      <c r="Y130" s="279"/>
      <c r="Z130" s="280"/>
      <c r="AA130" s="279"/>
      <c r="AB130" s="279"/>
      <c r="AC130" s="279"/>
      <c r="AD130" s="279"/>
      <c r="AE130" s="279"/>
      <c r="AF130" s="279"/>
      <c r="AG130" s="279"/>
      <c r="AH130" s="279"/>
      <c r="AI130" s="279"/>
      <c r="AJ130" s="279"/>
      <c r="AK130" s="280"/>
      <c r="AL130" s="279"/>
      <c r="AM130" s="279"/>
      <c r="AN130" s="280"/>
      <c r="AO130" s="279"/>
      <c r="AP130" s="280"/>
      <c r="AQ130" s="279"/>
      <c r="AR130" s="285"/>
      <c r="AS130" s="279"/>
      <c r="AT130" s="279"/>
      <c r="AU130" s="279"/>
      <c r="AV130" s="279"/>
      <c r="AW130" s="284"/>
      <c r="AX130" s="285"/>
      <c r="AY130" s="285"/>
      <c r="AZ130" s="285"/>
      <c r="BA130" s="285"/>
      <c r="BB130" s="285"/>
      <c r="BC130" s="285"/>
      <c r="BD130" s="285"/>
      <c r="BE130" s="280"/>
      <c r="BF130" s="284"/>
      <c r="BG130" s="285"/>
      <c r="BH130" s="285"/>
      <c r="BI130" s="285"/>
      <c r="BJ130" s="285"/>
      <c r="BK130" s="285"/>
      <c r="BL130" s="285"/>
      <c r="BM130" s="285"/>
      <c r="BN130" s="280"/>
      <c r="BO130" s="279"/>
      <c r="BP130" s="279"/>
      <c r="BQ130" s="279"/>
      <c r="BR130" s="278"/>
      <c r="BS130" s="279"/>
      <c r="BT130" s="279"/>
      <c r="BU130" s="279"/>
      <c r="BV130" s="279"/>
      <c r="BW130" s="279"/>
      <c r="BX130" s="279"/>
      <c r="BY130" s="279"/>
      <c r="BZ130" s="279"/>
      <c r="CA130" s="279"/>
      <c r="CB130" s="279"/>
      <c r="CC130" s="279"/>
      <c r="CD130" s="279"/>
      <c r="CE130" s="279"/>
    </row>
    <row r="131" spans="1:83">
      <c r="A131" s="278"/>
      <c r="B131" s="278"/>
      <c r="C131" s="279"/>
      <c r="D131" s="279"/>
      <c r="E131" s="279"/>
      <c r="F131" s="279"/>
      <c r="G131" s="279"/>
      <c r="H131" s="279"/>
      <c r="I131" s="279"/>
      <c r="J131" s="279"/>
      <c r="K131" s="279"/>
      <c r="L131" s="279"/>
      <c r="M131" s="279"/>
      <c r="N131" s="280"/>
      <c r="O131" s="279"/>
      <c r="P131" s="280"/>
      <c r="Q131" s="279"/>
      <c r="R131" s="279"/>
      <c r="S131" s="279"/>
      <c r="T131" s="279"/>
      <c r="U131" s="280"/>
      <c r="V131" s="279"/>
      <c r="W131" s="279"/>
      <c r="X131" s="279"/>
      <c r="Y131" s="279"/>
      <c r="Z131" s="280"/>
      <c r="AA131" s="279"/>
      <c r="AB131" s="279"/>
      <c r="AC131" s="279"/>
      <c r="AD131" s="279"/>
      <c r="AE131" s="279"/>
      <c r="AF131" s="279"/>
      <c r="AG131" s="279"/>
      <c r="AH131" s="279"/>
      <c r="AI131" s="279"/>
      <c r="AJ131" s="279"/>
      <c r="AK131" s="280"/>
      <c r="AL131" s="279"/>
      <c r="AM131" s="279"/>
      <c r="AN131" s="280"/>
      <c r="AO131" s="279"/>
      <c r="AP131" s="280"/>
      <c r="AQ131" s="279"/>
      <c r="AR131" s="285"/>
      <c r="AS131" s="279"/>
      <c r="AT131" s="279"/>
      <c r="AU131" s="279"/>
      <c r="AV131" s="279"/>
      <c r="AW131" s="284"/>
      <c r="AX131" s="285"/>
      <c r="AY131" s="285"/>
      <c r="AZ131" s="285"/>
      <c r="BA131" s="285"/>
      <c r="BB131" s="285"/>
      <c r="BC131" s="285"/>
      <c r="BD131" s="285"/>
      <c r="BE131" s="280"/>
      <c r="BF131" s="284"/>
      <c r="BG131" s="285"/>
      <c r="BH131" s="285"/>
      <c r="BI131" s="285"/>
      <c r="BJ131" s="285"/>
      <c r="BK131" s="285"/>
      <c r="BL131" s="285"/>
      <c r="BM131" s="285"/>
      <c r="BN131" s="280"/>
      <c r="BO131" s="279"/>
      <c r="BP131" s="279"/>
      <c r="BQ131" s="279"/>
      <c r="BR131" s="278"/>
      <c r="BS131" s="279"/>
      <c r="BT131" s="279"/>
      <c r="BU131" s="279"/>
      <c r="BV131" s="279"/>
      <c r="BW131" s="279"/>
      <c r="BX131" s="279"/>
      <c r="BY131" s="279"/>
      <c r="BZ131" s="279"/>
      <c r="CA131" s="279"/>
      <c r="CB131" s="279"/>
      <c r="CC131" s="279"/>
      <c r="CD131" s="279"/>
      <c r="CE131" s="279"/>
    </row>
    <row r="132" spans="1:83">
      <c r="A132" s="278"/>
      <c r="B132" s="278"/>
      <c r="C132" s="279"/>
      <c r="D132" s="279"/>
      <c r="E132" s="279"/>
      <c r="F132" s="279"/>
      <c r="G132" s="279"/>
      <c r="H132" s="279"/>
      <c r="I132" s="279"/>
      <c r="J132" s="279"/>
      <c r="K132" s="279"/>
      <c r="L132" s="279"/>
      <c r="M132" s="279"/>
      <c r="N132" s="280"/>
      <c r="O132" s="279"/>
      <c r="P132" s="280"/>
      <c r="Q132" s="279"/>
      <c r="R132" s="279"/>
      <c r="S132" s="279"/>
      <c r="T132" s="279"/>
      <c r="U132" s="280"/>
      <c r="V132" s="279"/>
      <c r="W132" s="279"/>
      <c r="X132" s="279"/>
      <c r="Y132" s="279"/>
      <c r="Z132" s="280"/>
      <c r="AA132" s="279"/>
      <c r="AB132" s="279"/>
      <c r="AC132" s="279"/>
      <c r="AD132" s="279"/>
      <c r="AE132" s="279"/>
      <c r="AF132" s="279"/>
      <c r="AG132" s="279"/>
      <c r="AH132" s="279"/>
      <c r="AI132" s="279"/>
      <c r="AJ132" s="279"/>
      <c r="AK132" s="280"/>
      <c r="AL132" s="279"/>
      <c r="AM132" s="279"/>
      <c r="AN132" s="280"/>
      <c r="AO132" s="279"/>
      <c r="AP132" s="280"/>
      <c r="AQ132" s="279"/>
      <c r="AR132" s="285"/>
      <c r="AS132" s="279"/>
      <c r="AT132" s="279"/>
      <c r="AU132" s="279"/>
      <c r="AV132" s="279"/>
      <c r="AW132" s="284"/>
      <c r="AX132" s="285"/>
      <c r="AY132" s="285"/>
      <c r="AZ132" s="285"/>
      <c r="BA132" s="285"/>
      <c r="BB132" s="285"/>
      <c r="BC132" s="285"/>
      <c r="BD132" s="285"/>
      <c r="BE132" s="280"/>
      <c r="BF132" s="284"/>
      <c r="BG132" s="285"/>
      <c r="BH132" s="285"/>
      <c r="BI132" s="285"/>
      <c r="BJ132" s="285"/>
      <c r="BK132" s="285"/>
      <c r="BL132" s="285"/>
      <c r="BM132" s="285"/>
      <c r="BN132" s="280"/>
      <c r="BO132" s="279"/>
      <c r="BP132" s="279"/>
      <c r="BQ132" s="279"/>
      <c r="BR132" s="278"/>
      <c r="BS132" s="279"/>
      <c r="BT132" s="279"/>
      <c r="BU132" s="279"/>
      <c r="BV132" s="279"/>
      <c r="BW132" s="279"/>
      <c r="BX132" s="279"/>
      <c r="BY132" s="279"/>
      <c r="BZ132" s="279"/>
      <c r="CA132" s="279"/>
      <c r="CB132" s="279"/>
      <c r="CC132" s="279"/>
      <c r="CD132" s="279"/>
      <c r="CE132" s="279"/>
    </row>
    <row r="133" spans="1:83">
      <c r="A133" s="278"/>
      <c r="B133" s="278"/>
      <c r="C133" s="279"/>
      <c r="D133" s="279"/>
      <c r="E133" s="279"/>
      <c r="F133" s="279"/>
      <c r="G133" s="279"/>
      <c r="H133" s="279"/>
      <c r="I133" s="279"/>
      <c r="J133" s="279"/>
      <c r="K133" s="279"/>
      <c r="L133" s="279"/>
      <c r="M133" s="279"/>
      <c r="N133" s="280"/>
      <c r="O133" s="279"/>
      <c r="P133" s="280"/>
      <c r="Q133" s="279"/>
      <c r="R133" s="279"/>
      <c r="S133" s="279"/>
      <c r="T133" s="279"/>
      <c r="U133" s="280"/>
      <c r="V133" s="279"/>
      <c r="W133" s="279"/>
      <c r="X133" s="279"/>
      <c r="Y133" s="279"/>
      <c r="Z133" s="280"/>
      <c r="AA133" s="279"/>
      <c r="AB133" s="279"/>
      <c r="AC133" s="279"/>
      <c r="AD133" s="279"/>
      <c r="AE133" s="279"/>
      <c r="AF133" s="279"/>
      <c r="AG133" s="279"/>
      <c r="AH133" s="279"/>
      <c r="AI133" s="279"/>
      <c r="AJ133" s="279"/>
      <c r="AK133" s="280"/>
      <c r="AL133" s="279"/>
      <c r="AM133" s="279"/>
      <c r="AN133" s="280"/>
      <c r="AO133" s="279"/>
      <c r="AP133" s="280"/>
      <c r="AQ133" s="279"/>
      <c r="AR133" s="285"/>
      <c r="AS133" s="279"/>
      <c r="AT133" s="279"/>
      <c r="AU133" s="279"/>
      <c r="AV133" s="279"/>
      <c r="AW133" s="284"/>
      <c r="AX133" s="285"/>
      <c r="AY133" s="285"/>
      <c r="AZ133" s="285"/>
      <c r="BA133" s="285"/>
      <c r="BB133" s="285"/>
      <c r="BC133" s="285"/>
      <c r="BD133" s="285"/>
      <c r="BE133" s="280"/>
      <c r="BF133" s="284"/>
      <c r="BG133" s="285"/>
      <c r="BH133" s="285"/>
      <c r="BI133" s="285"/>
      <c r="BJ133" s="285"/>
      <c r="BK133" s="285"/>
      <c r="BL133" s="285"/>
      <c r="BM133" s="285"/>
      <c r="BN133" s="280"/>
      <c r="BO133" s="279"/>
      <c r="BP133" s="279"/>
      <c r="BQ133" s="279"/>
      <c r="BR133" s="278"/>
      <c r="BS133" s="279"/>
      <c r="BT133" s="279"/>
      <c r="BU133" s="279"/>
      <c r="BV133" s="279"/>
      <c r="BW133" s="279"/>
      <c r="BX133" s="279"/>
      <c r="BY133" s="279"/>
      <c r="BZ133" s="279"/>
      <c r="CA133" s="279"/>
      <c r="CB133" s="279"/>
      <c r="CC133" s="279"/>
      <c r="CD133" s="279"/>
      <c r="CE133" s="279"/>
    </row>
    <row r="134" spans="1:83">
      <c r="A134" s="278"/>
      <c r="B134" s="278"/>
      <c r="C134" s="279"/>
      <c r="D134" s="279"/>
      <c r="E134" s="279"/>
      <c r="F134" s="279"/>
      <c r="G134" s="279"/>
      <c r="H134" s="279"/>
      <c r="I134" s="279"/>
      <c r="J134" s="279"/>
      <c r="K134" s="279"/>
      <c r="L134" s="279"/>
      <c r="M134" s="279"/>
      <c r="N134" s="280"/>
      <c r="O134" s="279"/>
      <c r="P134" s="280"/>
      <c r="Q134" s="279"/>
      <c r="R134" s="279"/>
      <c r="S134" s="279"/>
      <c r="T134" s="279"/>
      <c r="U134" s="280"/>
      <c r="V134" s="279"/>
      <c r="W134" s="279"/>
      <c r="X134" s="279"/>
      <c r="Y134" s="279"/>
      <c r="Z134" s="280"/>
      <c r="AA134" s="279"/>
      <c r="AB134" s="279"/>
      <c r="AC134" s="279"/>
      <c r="AD134" s="279"/>
      <c r="AE134" s="279"/>
      <c r="AF134" s="279"/>
      <c r="AG134" s="279"/>
      <c r="AH134" s="279"/>
      <c r="AI134" s="279"/>
      <c r="AJ134" s="279"/>
      <c r="AK134" s="280"/>
      <c r="AL134" s="279"/>
      <c r="AM134" s="279"/>
      <c r="AN134" s="280"/>
      <c r="AO134" s="279"/>
      <c r="AP134" s="280"/>
      <c r="AQ134" s="279"/>
      <c r="AR134" s="285"/>
      <c r="AS134" s="279"/>
      <c r="AT134" s="279"/>
      <c r="AU134" s="279"/>
      <c r="AV134" s="279"/>
      <c r="AW134" s="284"/>
      <c r="AX134" s="285"/>
      <c r="AY134" s="285"/>
      <c r="AZ134" s="285"/>
      <c r="BA134" s="285"/>
      <c r="BB134" s="285"/>
      <c r="BC134" s="285"/>
      <c r="BD134" s="285"/>
      <c r="BE134" s="280"/>
      <c r="BF134" s="284"/>
      <c r="BG134" s="285"/>
      <c r="BH134" s="285"/>
      <c r="BI134" s="285"/>
      <c r="BJ134" s="285"/>
      <c r="BK134" s="285"/>
      <c r="BL134" s="285"/>
      <c r="BM134" s="285"/>
      <c r="BN134" s="280"/>
      <c r="BO134" s="279"/>
      <c r="BP134" s="279"/>
      <c r="BQ134" s="279"/>
      <c r="BR134" s="278"/>
      <c r="BS134" s="279"/>
      <c r="BT134" s="279"/>
      <c r="BU134" s="279"/>
      <c r="BV134" s="279"/>
      <c r="BW134" s="279"/>
      <c r="BX134" s="279"/>
      <c r="BY134" s="279"/>
      <c r="BZ134" s="279"/>
      <c r="CA134" s="279"/>
      <c r="CB134" s="279"/>
      <c r="CC134" s="279"/>
      <c r="CD134" s="279"/>
      <c r="CE134" s="279"/>
    </row>
    <row r="135" spans="1:83">
      <c r="A135" s="278"/>
      <c r="B135" s="278"/>
      <c r="C135" s="279"/>
      <c r="D135" s="279"/>
      <c r="E135" s="279"/>
      <c r="F135" s="279"/>
      <c r="G135" s="279"/>
      <c r="H135" s="279"/>
      <c r="I135" s="279"/>
      <c r="J135" s="279"/>
      <c r="K135" s="279"/>
      <c r="L135" s="279"/>
      <c r="M135" s="279"/>
      <c r="N135" s="280"/>
      <c r="O135" s="279"/>
      <c r="P135" s="280"/>
      <c r="Q135" s="279"/>
      <c r="R135" s="279"/>
      <c r="S135" s="279"/>
      <c r="T135" s="279"/>
      <c r="U135" s="280"/>
      <c r="V135" s="279"/>
      <c r="W135" s="279"/>
      <c r="X135" s="279"/>
      <c r="Y135" s="279"/>
      <c r="Z135" s="280"/>
      <c r="AA135" s="279"/>
      <c r="AB135" s="279"/>
      <c r="AC135" s="279"/>
      <c r="AD135" s="279"/>
      <c r="AE135" s="279"/>
      <c r="AF135" s="279"/>
      <c r="AG135" s="279"/>
      <c r="AH135" s="279"/>
      <c r="AI135" s="279"/>
      <c r="AJ135" s="279"/>
      <c r="AK135" s="280"/>
      <c r="AL135" s="279"/>
      <c r="AM135" s="279"/>
      <c r="AN135" s="280"/>
      <c r="AO135" s="279"/>
      <c r="AP135" s="280"/>
      <c r="AQ135" s="279"/>
      <c r="AR135" s="285"/>
      <c r="AS135" s="279"/>
      <c r="AT135" s="279"/>
      <c r="AU135" s="279"/>
      <c r="AV135" s="279"/>
      <c r="AW135" s="284"/>
      <c r="AX135" s="285"/>
      <c r="AY135" s="285"/>
      <c r="AZ135" s="285"/>
      <c r="BA135" s="285"/>
      <c r="BB135" s="285"/>
      <c r="BC135" s="285"/>
      <c r="BD135" s="285"/>
      <c r="BE135" s="280"/>
      <c r="BF135" s="284"/>
      <c r="BG135" s="285"/>
      <c r="BH135" s="285"/>
      <c r="BI135" s="285"/>
      <c r="BJ135" s="285"/>
      <c r="BK135" s="285"/>
      <c r="BL135" s="285"/>
      <c r="BM135" s="285"/>
      <c r="BN135" s="280"/>
      <c r="BO135" s="279"/>
      <c r="BP135" s="279"/>
      <c r="BQ135" s="279"/>
      <c r="BR135" s="278"/>
      <c r="BS135" s="279"/>
      <c r="BT135" s="279"/>
      <c r="BU135" s="279"/>
      <c r="BV135" s="279"/>
      <c r="BW135" s="279"/>
      <c r="BX135" s="279"/>
      <c r="BY135" s="279"/>
      <c r="BZ135" s="279"/>
      <c r="CA135" s="279"/>
      <c r="CB135" s="279"/>
      <c r="CC135" s="279"/>
      <c r="CD135" s="279"/>
      <c r="CE135" s="279"/>
    </row>
    <row r="136" spans="1:83">
      <c r="A136" s="278"/>
      <c r="B136" s="278"/>
      <c r="C136" s="279"/>
      <c r="D136" s="279"/>
      <c r="E136" s="279"/>
      <c r="F136" s="279"/>
      <c r="G136" s="279"/>
      <c r="H136" s="279"/>
      <c r="I136" s="279"/>
      <c r="J136" s="279"/>
      <c r="K136" s="279"/>
      <c r="L136" s="279"/>
      <c r="M136" s="279"/>
      <c r="N136" s="280"/>
      <c r="O136" s="279"/>
      <c r="P136" s="280"/>
      <c r="Q136" s="279"/>
      <c r="R136" s="279"/>
      <c r="S136" s="279"/>
      <c r="T136" s="279"/>
      <c r="U136" s="280"/>
      <c r="V136" s="279"/>
      <c r="W136" s="279"/>
      <c r="X136" s="279"/>
      <c r="Y136" s="279"/>
      <c r="Z136" s="280"/>
      <c r="AA136" s="279"/>
      <c r="AB136" s="279"/>
      <c r="AC136" s="279"/>
      <c r="AD136" s="279"/>
      <c r="AE136" s="279"/>
      <c r="AF136" s="279"/>
      <c r="AG136" s="279"/>
      <c r="AH136" s="279"/>
      <c r="AI136" s="279"/>
      <c r="AJ136" s="279"/>
      <c r="AK136" s="280"/>
      <c r="AL136" s="279"/>
      <c r="AM136" s="279"/>
      <c r="AN136" s="280"/>
      <c r="AO136" s="279"/>
      <c r="AP136" s="280"/>
      <c r="AQ136" s="279"/>
      <c r="AR136" s="285"/>
      <c r="AS136" s="279"/>
      <c r="AT136" s="279"/>
      <c r="AU136" s="279"/>
      <c r="AV136" s="279"/>
      <c r="AW136" s="284"/>
      <c r="AX136" s="285"/>
      <c r="AY136" s="285"/>
      <c r="AZ136" s="285"/>
      <c r="BA136" s="285"/>
      <c r="BB136" s="285"/>
      <c r="BC136" s="285"/>
      <c r="BD136" s="285"/>
      <c r="BE136" s="280"/>
      <c r="BF136" s="284"/>
      <c r="BG136" s="285"/>
      <c r="BH136" s="285"/>
      <c r="BI136" s="285"/>
      <c r="BJ136" s="285"/>
      <c r="BK136" s="285"/>
      <c r="BL136" s="285"/>
      <c r="BM136" s="285"/>
      <c r="BN136" s="280"/>
      <c r="BO136" s="279"/>
      <c r="BP136" s="279"/>
      <c r="BQ136" s="279"/>
      <c r="BR136" s="278"/>
      <c r="BS136" s="279"/>
      <c r="BT136" s="279"/>
      <c r="BU136" s="279"/>
      <c r="BV136" s="279"/>
      <c r="BW136" s="279"/>
      <c r="BX136" s="279"/>
      <c r="BY136" s="279"/>
      <c r="BZ136" s="279"/>
      <c r="CA136" s="279"/>
      <c r="CB136" s="279"/>
      <c r="CC136" s="279"/>
      <c r="CD136" s="279"/>
      <c r="CE136" s="279"/>
    </row>
    <row r="137" spans="1:83">
      <c r="A137" s="278"/>
      <c r="B137" s="278"/>
      <c r="C137" s="279"/>
      <c r="D137" s="279"/>
      <c r="E137" s="279"/>
      <c r="F137" s="279"/>
      <c r="G137" s="279"/>
      <c r="H137" s="279"/>
      <c r="I137" s="279"/>
      <c r="J137" s="279"/>
      <c r="K137" s="279"/>
      <c r="L137" s="279"/>
      <c r="M137" s="279"/>
      <c r="N137" s="280"/>
      <c r="O137" s="279"/>
      <c r="P137" s="280"/>
      <c r="Q137" s="279"/>
      <c r="R137" s="279"/>
      <c r="S137" s="279"/>
      <c r="T137" s="279"/>
      <c r="U137" s="280"/>
      <c r="V137" s="279"/>
      <c r="W137" s="279"/>
      <c r="X137" s="279"/>
      <c r="Y137" s="279"/>
      <c r="Z137" s="280"/>
      <c r="AA137" s="279"/>
      <c r="AB137" s="279"/>
      <c r="AC137" s="279"/>
      <c r="AD137" s="279"/>
      <c r="AE137" s="279"/>
      <c r="AF137" s="279"/>
      <c r="AG137" s="279"/>
      <c r="AH137" s="279"/>
      <c r="AI137" s="279"/>
      <c r="AJ137" s="279"/>
      <c r="AK137" s="280"/>
      <c r="AL137" s="279"/>
      <c r="AM137" s="279"/>
      <c r="AN137" s="280"/>
      <c r="AO137" s="279"/>
      <c r="AP137" s="280"/>
      <c r="AQ137" s="279"/>
      <c r="AR137" s="285"/>
      <c r="AS137" s="279"/>
      <c r="AT137" s="279"/>
      <c r="AU137" s="279"/>
      <c r="AV137" s="279"/>
      <c r="AW137" s="284"/>
      <c r="AX137" s="285"/>
      <c r="AY137" s="285"/>
      <c r="AZ137" s="285"/>
      <c r="BA137" s="285"/>
      <c r="BB137" s="285"/>
      <c r="BC137" s="285"/>
      <c r="BD137" s="285"/>
      <c r="BE137" s="280"/>
      <c r="BF137" s="284"/>
      <c r="BG137" s="285"/>
      <c r="BH137" s="285"/>
      <c r="BI137" s="285"/>
      <c r="BJ137" s="285"/>
      <c r="BK137" s="285"/>
      <c r="BL137" s="285"/>
      <c r="BM137" s="285"/>
      <c r="BN137" s="280"/>
      <c r="BO137" s="279"/>
      <c r="BP137" s="279"/>
      <c r="BQ137" s="279"/>
      <c r="BR137" s="278"/>
      <c r="BS137" s="279"/>
      <c r="BT137" s="279"/>
      <c r="BU137" s="279"/>
      <c r="BV137" s="279"/>
      <c r="BW137" s="279"/>
      <c r="BX137" s="279"/>
      <c r="BY137" s="279"/>
      <c r="BZ137" s="279"/>
      <c r="CA137" s="279"/>
      <c r="CB137" s="279"/>
      <c r="CC137" s="279"/>
      <c r="CD137" s="279"/>
      <c r="CE137" s="279"/>
    </row>
    <row r="138" spans="1:83">
      <c r="A138" s="278"/>
      <c r="B138" s="278"/>
      <c r="C138" s="279"/>
      <c r="D138" s="279"/>
      <c r="E138" s="279"/>
      <c r="F138" s="279"/>
      <c r="G138" s="279"/>
      <c r="H138" s="279"/>
      <c r="I138" s="279"/>
      <c r="J138" s="279"/>
      <c r="K138" s="279"/>
      <c r="L138" s="279"/>
      <c r="M138" s="279"/>
      <c r="N138" s="280"/>
      <c r="O138" s="279"/>
      <c r="P138" s="280"/>
      <c r="Q138" s="279"/>
      <c r="R138" s="279"/>
      <c r="S138" s="279"/>
      <c r="T138" s="279"/>
      <c r="U138" s="280"/>
      <c r="V138" s="279"/>
      <c r="W138" s="279"/>
      <c r="X138" s="279"/>
      <c r="Y138" s="279"/>
      <c r="Z138" s="280"/>
      <c r="AA138" s="279"/>
      <c r="AB138" s="279"/>
      <c r="AC138" s="279"/>
      <c r="AD138" s="279"/>
      <c r="AE138" s="279"/>
      <c r="AF138" s="279"/>
      <c r="AG138" s="279"/>
      <c r="AH138" s="279"/>
      <c r="AI138" s="279"/>
      <c r="AJ138" s="279"/>
      <c r="AK138" s="280"/>
      <c r="AL138" s="279"/>
      <c r="AM138" s="279"/>
      <c r="AN138" s="280"/>
      <c r="AO138" s="279"/>
      <c r="AP138" s="280"/>
      <c r="AQ138" s="279"/>
      <c r="AR138" s="285"/>
      <c r="AS138" s="279"/>
      <c r="AT138" s="279"/>
      <c r="AU138" s="279"/>
      <c r="AV138" s="279"/>
      <c r="AW138" s="284"/>
      <c r="AX138" s="285"/>
      <c r="AY138" s="285"/>
      <c r="AZ138" s="285"/>
      <c r="BA138" s="285"/>
      <c r="BB138" s="285"/>
      <c r="BC138" s="285"/>
      <c r="BD138" s="285"/>
      <c r="BE138" s="280"/>
      <c r="BF138" s="284"/>
      <c r="BG138" s="285"/>
      <c r="BH138" s="285"/>
      <c r="BI138" s="285"/>
      <c r="BJ138" s="285"/>
      <c r="BK138" s="285"/>
      <c r="BL138" s="285"/>
      <c r="BM138" s="285"/>
      <c r="BN138" s="280"/>
      <c r="BO138" s="279"/>
      <c r="BP138" s="279"/>
      <c r="BQ138" s="279"/>
      <c r="BR138" s="278"/>
      <c r="BS138" s="279"/>
      <c r="BT138" s="279"/>
      <c r="BU138" s="279"/>
      <c r="BV138" s="279"/>
      <c r="BW138" s="279"/>
      <c r="BX138" s="279"/>
      <c r="BY138" s="279"/>
      <c r="BZ138" s="279"/>
      <c r="CA138" s="279"/>
      <c r="CB138" s="279"/>
      <c r="CC138" s="279"/>
      <c r="CD138" s="279"/>
      <c r="CE138" s="279"/>
    </row>
    <row r="139" spans="1:83">
      <c r="A139" s="278"/>
      <c r="B139" s="278"/>
      <c r="C139" s="279"/>
      <c r="D139" s="279"/>
      <c r="E139" s="279"/>
      <c r="F139" s="279"/>
      <c r="G139" s="279"/>
      <c r="H139" s="279"/>
      <c r="I139" s="279"/>
      <c r="J139" s="279"/>
      <c r="K139" s="279"/>
      <c r="L139" s="279"/>
      <c r="M139" s="279"/>
      <c r="N139" s="280"/>
      <c r="O139" s="279"/>
      <c r="P139" s="280"/>
      <c r="Q139" s="279"/>
      <c r="R139" s="279"/>
      <c r="S139" s="279"/>
      <c r="T139" s="279"/>
      <c r="U139" s="280"/>
      <c r="V139" s="279"/>
      <c r="W139" s="279"/>
      <c r="X139" s="279"/>
      <c r="Y139" s="279"/>
      <c r="Z139" s="280"/>
      <c r="AA139" s="279"/>
      <c r="AB139" s="279"/>
      <c r="AC139" s="279"/>
      <c r="AD139" s="279"/>
      <c r="AE139" s="279"/>
      <c r="AF139" s="279"/>
      <c r="AG139" s="279"/>
      <c r="AH139" s="279"/>
      <c r="AI139" s="279"/>
      <c r="AJ139" s="279"/>
      <c r="AK139" s="280"/>
      <c r="AL139" s="279"/>
      <c r="AM139" s="279"/>
      <c r="AN139" s="280"/>
      <c r="AO139" s="279"/>
      <c r="AP139" s="280"/>
      <c r="AQ139" s="279"/>
      <c r="AR139" s="285"/>
      <c r="AS139" s="279"/>
      <c r="AT139" s="279"/>
      <c r="AU139" s="279"/>
      <c r="AV139" s="279"/>
      <c r="AW139" s="284"/>
      <c r="AX139" s="285"/>
      <c r="AY139" s="285"/>
      <c r="AZ139" s="285"/>
      <c r="BA139" s="285"/>
      <c r="BB139" s="285"/>
      <c r="BC139" s="285"/>
      <c r="BD139" s="285"/>
      <c r="BE139" s="280"/>
      <c r="BF139" s="284"/>
      <c r="BG139" s="285"/>
      <c r="BH139" s="285"/>
      <c r="BI139" s="285"/>
      <c r="BJ139" s="285"/>
      <c r="BK139" s="285"/>
      <c r="BL139" s="285"/>
      <c r="BM139" s="285"/>
      <c r="BN139" s="280"/>
      <c r="BO139" s="279"/>
      <c r="BP139" s="279"/>
      <c r="BQ139" s="279"/>
      <c r="BR139" s="278"/>
      <c r="BS139" s="279"/>
      <c r="BT139" s="279"/>
      <c r="BU139" s="279"/>
      <c r="BV139" s="279"/>
      <c r="BW139" s="279"/>
      <c r="BX139" s="279"/>
      <c r="BY139" s="279"/>
      <c r="BZ139" s="279"/>
      <c r="CA139" s="279"/>
      <c r="CB139" s="279"/>
      <c r="CC139" s="279"/>
      <c r="CD139" s="279"/>
      <c r="CE139" s="279"/>
    </row>
    <row r="140" spans="1:83">
      <c r="A140" s="278"/>
      <c r="B140" s="278"/>
      <c r="C140" s="279"/>
      <c r="D140" s="279"/>
      <c r="E140" s="279"/>
      <c r="F140" s="279"/>
      <c r="G140" s="279"/>
      <c r="H140" s="279"/>
      <c r="I140" s="279"/>
      <c r="J140" s="279"/>
      <c r="K140" s="279"/>
      <c r="L140" s="279"/>
      <c r="M140" s="279"/>
      <c r="N140" s="280"/>
      <c r="O140" s="279"/>
      <c r="P140" s="280"/>
      <c r="Q140" s="279"/>
      <c r="R140" s="279"/>
      <c r="S140" s="279"/>
      <c r="T140" s="279"/>
      <c r="U140" s="280"/>
      <c r="V140" s="279"/>
      <c r="W140" s="279"/>
      <c r="X140" s="279"/>
      <c r="Y140" s="279"/>
      <c r="Z140" s="280"/>
      <c r="AA140" s="279"/>
      <c r="AB140" s="279"/>
      <c r="AC140" s="279"/>
      <c r="AD140" s="279"/>
      <c r="AE140" s="279"/>
      <c r="AF140" s="279"/>
      <c r="AG140" s="279"/>
      <c r="AH140" s="279"/>
      <c r="AI140" s="279"/>
      <c r="AJ140" s="279"/>
      <c r="AK140" s="280"/>
      <c r="AL140" s="279"/>
      <c r="AM140" s="279"/>
      <c r="AN140" s="280"/>
      <c r="AO140" s="279"/>
      <c r="AP140" s="280"/>
      <c r="AQ140" s="279"/>
      <c r="AR140" s="285"/>
      <c r="AS140" s="279"/>
      <c r="AT140" s="279"/>
      <c r="AU140" s="279"/>
      <c r="AV140" s="279"/>
      <c r="AW140" s="284"/>
      <c r="AX140" s="285"/>
      <c r="AY140" s="285"/>
      <c r="AZ140" s="285"/>
      <c r="BA140" s="285"/>
      <c r="BB140" s="285"/>
      <c r="BC140" s="285"/>
      <c r="BD140" s="285"/>
      <c r="BE140" s="280"/>
      <c r="BF140" s="284"/>
      <c r="BG140" s="285"/>
      <c r="BH140" s="285"/>
      <c r="BI140" s="285"/>
      <c r="BJ140" s="285"/>
      <c r="BK140" s="285"/>
      <c r="BL140" s="285"/>
      <c r="BM140" s="285"/>
      <c r="BN140" s="280"/>
      <c r="BO140" s="279"/>
      <c r="BP140" s="279"/>
      <c r="BQ140" s="279"/>
      <c r="BR140" s="278"/>
      <c r="BS140" s="279"/>
      <c r="BT140" s="279"/>
      <c r="BU140" s="279"/>
      <c r="BV140" s="279"/>
      <c r="BW140" s="279"/>
      <c r="BX140" s="279"/>
      <c r="BY140" s="279"/>
      <c r="BZ140" s="279"/>
      <c r="CA140" s="279"/>
      <c r="CB140" s="279"/>
      <c r="CC140" s="279"/>
      <c r="CD140" s="279"/>
      <c r="CE140" s="279"/>
    </row>
    <row r="141" spans="1:83">
      <c r="A141" s="278"/>
      <c r="B141" s="278"/>
      <c r="C141" s="279"/>
      <c r="D141" s="279"/>
      <c r="E141" s="279"/>
      <c r="F141" s="279"/>
      <c r="G141" s="279"/>
      <c r="H141" s="279"/>
      <c r="I141" s="279"/>
      <c r="J141" s="279"/>
      <c r="K141" s="279"/>
      <c r="L141" s="279"/>
      <c r="M141" s="279"/>
      <c r="N141" s="280"/>
      <c r="O141" s="279"/>
      <c r="P141" s="280"/>
      <c r="Q141" s="279"/>
      <c r="R141" s="279"/>
      <c r="S141" s="279"/>
      <c r="T141" s="279"/>
      <c r="U141" s="280"/>
      <c r="V141" s="279"/>
      <c r="W141" s="279"/>
      <c r="X141" s="279"/>
      <c r="Y141" s="279"/>
      <c r="Z141" s="280"/>
      <c r="AA141" s="279"/>
      <c r="AB141" s="279"/>
      <c r="AC141" s="279"/>
      <c r="AD141" s="279"/>
      <c r="AE141" s="279"/>
      <c r="AF141" s="279"/>
      <c r="AG141" s="279"/>
      <c r="AH141" s="279"/>
      <c r="AI141" s="279"/>
      <c r="AJ141" s="279"/>
      <c r="AK141" s="280"/>
      <c r="AL141" s="279"/>
      <c r="AM141" s="279"/>
      <c r="AN141" s="280"/>
      <c r="AO141" s="279"/>
      <c r="AP141" s="280"/>
      <c r="AQ141" s="279"/>
      <c r="AR141" s="285"/>
      <c r="AS141" s="279"/>
      <c r="AT141" s="279"/>
      <c r="AU141" s="279"/>
      <c r="AV141" s="279"/>
      <c r="AW141" s="284"/>
      <c r="AX141" s="285"/>
      <c r="AY141" s="285"/>
      <c r="AZ141" s="285"/>
      <c r="BA141" s="285"/>
      <c r="BB141" s="285"/>
      <c r="BC141" s="285"/>
      <c r="BD141" s="285"/>
      <c r="BE141" s="280"/>
      <c r="BF141" s="284"/>
      <c r="BG141" s="285"/>
      <c r="BH141" s="285"/>
      <c r="BI141" s="285"/>
      <c r="BJ141" s="285"/>
      <c r="BK141" s="285"/>
      <c r="BL141" s="285"/>
      <c r="BM141" s="285"/>
      <c r="BN141" s="280"/>
      <c r="BO141" s="279"/>
      <c r="BP141" s="279"/>
      <c r="BQ141" s="279"/>
      <c r="BR141" s="278"/>
      <c r="BS141" s="279"/>
      <c r="BT141" s="279"/>
      <c r="BU141" s="279"/>
      <c r="BV141" s="279"/>
      <c r="BW141" s="279"/>
      <c r="BX141" s="279"/>
      <c r="BY141" s="279"/>
      <c r="BZ141" s="279"/>
      <c r="CA141" s="279"/>
      <c r="CB141" s="279"/>
      <c r="CC141" s="279"/>
      <c r="CD141" s="279"/>
      <c r="CE141" s="279"/>
    </row>
    <row r="142" spans="1:83">
      <c r="A142" s="278"/>
      <c r="B142" s="278"/>
      <c r="C142" s="279"/>
      <c r="D142" s="279"/>
      <c r="E142" s="279"/>
      <c r="F142" s="279"/>
      <c r="G142" s="279"/>
      <c r="H142" s="279"/>
      <c r="I142" s="279"/>
      <c r="J142" s="279"/>
      <c r="K142" s="279"/>
      <c r="L142" s="279"/>
      <c r="M142" s="279"/>
      <c r="N142" s="280"/>
      <c r="O142" s="279"/>
      <c r="P142" s="280"/>
      <c r="Q142" s="279"/>
      <c r="R142" s="279"/>
      <c r="S142" s="279"/>
      <c r="T142" s="279"/>
      <c r="U142" s="280"/>
      <c r="V142" s="279"/>
      <c r="W142" s="279"/>
      <c r="X142" s="279"/>
      <c r="Y142" s="279"/>
      <c r="Z142" s="280"/>
      <c r="AA142" s="279"/>
      <c r="AB142" s="279"/>
      <c r="AC142" s="279"/>
      <c r="AD142" s="279"/>
      <c r="AE142" s="279"/>
      <c r="AF142" s="279"/>
      <c r="AG142" s="279"/>
      <c r="AH142" s="279"/>
      <c r="AI142" s="279"/>
      <c r="AJ142" s="279"/>
      <c r="AK142" s="280"/>
      <c r="AL142" s="279"/>
      <c r="AM142" s="279"/>
      <c r="AN142" s="280"/>
      <c r="AO142" s="279"/>
      <c r="AP142" s="280"/>
      <c r="AQ142" s="279"/>
      <c r="AR142" s="285"/>
      <c r="AS142" s="279"/>
      <c r="AT142" s="279"/>
      <c r="AU142" s="279"/>
      <c r="AV142" s="279"/>
      <c r="AW142" s="284"/>
      <c r="AX142" s="285"/>
      <c r="AY142" s="285"/>
      <c r="AZ142" s="285"/>
      <c r="BA142" s="285"/>
      <c r="BB142" s="285"/>
      <c r="BC142" s="285"/>
      <c r="BD142" s="285"/>
      <c r="BE142" s="280"/>
      <c r="BF142" s="284"/>
      <c r="BG142" s="285"/>
      <c r="BH142" s="285"/>
      <c r="BI142" s="285"/>
      <c r="BJ142" s="285"/>
      <c r="BK142" s="285"/>
      <c r="BL142" s="285"/>
      <c r="BM142" s="285"/>
      <c r="BN142" s="280"/>
      <c r="BO142" s="279"/>
      <c r="BP142" s="279"/>
      <c r="BQ142" s="279"/>
      <c r="BR142" s="278"/>
      <c r="BS142" s="279"/>
      <c r="BT142" s="279"/>
      <c r="BU142" s="279"/>
      <c r="BV142" s="279"/>
      <c r="BW142" s="279"/>
      <c r="BX142" s="279"/>
      <c r="BY142" s="279"/>
      <c r="BZ142" s="279"/>
      <c r="CA142" s="279"/>
      <c r="CB142" s="279"/>
      <c r="CC142" s="279"/>
      <c r="CD142" s="279"/>
      <c r="CE142" s="279"/>
    </row>
    <row r="143" spans="1:83">
      <c r="A143" s="278"/>
      <c r="B143" s="278"/>
      <c r="C143" s="279"/>
      <c r="D143" s="279"/>
      <c r="E143" s="279"/>
      <c r="F143" s="279"/>
      <c r="G143" s="279"/>
      <c r="H143" s="279"/>
      <c r="I143" s="279"/>
      <c r="J143" s="279"/>
      <c r="K143" s="279"/>
      <c r="L143" s="279"/>
      <c r="M143" s="279"/>
      <c r="N143" s="280"/>
      <c r="O143" s="279"/>
      <c r="P143" s="280"/>
      <c r="Q143" s="279"/>
      <c r="R143" s="279"/>
      <c r="S143" s="279"/>
      <c r="T143" s="279"/>
      <c r="U143" s="280"/>
      <c r="V143" s="279"/>
      <c r="W143" s="279"/>
      <c r="X143" s="279"/>
      <c r="Y143" s="279"/>
      <c r="Z143" s="280"/>
      <c r="AA143" s="279"/>
      <c r="AB143" s="279"/>
      <c r="AC143" s="279"/>
      <c r="AD143" s="279"/>
      <c r="AE143" s="279"/>
      <c r="AF143" s="279"/>
      <c r="AG143" s="279"/>
      <c r="AH143" s="279"/>
      <c r="AI143" s="279"/>
      <c r="AJ143" s="279"/>
      <c r="AK143" s="280"/>
      <c r="AL143" s="279"/>
      <c r="AM143" s="279"/>
      <c r="AN143" s="280"/>
      <c r="AO143" s="279"/>
      <c r="AP143" s="280"/>
      <c r="AQ143" s="279"/>
      <c r="AR143" s="285"/>
      <c r="AS143" s="279"/>
      <c r="AT143" s="279"/>
      <c r="AU143" s="279"/>
      <c r="AV143" s="279"/>
      <c r="AW143" s="284"/>
      <c r="AX143" s="285"/>
      <c r="AY143" s="285"/>
      <c r="AZ143" s="285"/>
      <c r="BA143" s="285"/>
      <c r="BB143" s="285"/>
      <c r="BC143" s="285"/>
      <c r="BD143" s="285"/>
      <c r="BE143" s="280"/>
      <c r="BF143" s="284"/>
      <c r="BG143" s="285"/>
      <c r="BH143" s="285"/>
      <c r="BI143" s="285"/>
      <c r="BJ143" s="285"/>
      <c r="BK143" s="285"/>
      <c r="BL143" s="285"/>
      <c r="BM143" s="285"/>
      <c r="BN143" s="280"/>
      <c r="BO143" s="279"/>
      <c r="BP143" s="279"/>
      <c r="BQ143" s="279"/>
      <c r="BR143" s="278"/>
      <c r="BS143" s="279"/>
      <c r="BT143" s="279"/>
      <c r="BU143" s="279"/>
      <c r="BV143" s="279"/>
      <c r="BW143" s="279"/>
      <c r="BX143" s="279"/>
      <c r="BY143" s="279"/>
      <c r="BZ143" s="279"/>
      <c r="CA143" s="279"/>
      <c r="CB143" s="279"/>
      <c r="CC143" s="279"/>
      <c r="CD143" s="279"/>
      <c r="CE143" s="279"/>
    </row>
    <row r="144" spans="1:83">
      <c r="A144" s="278"/>
      <c r="B144" s="278"/>
      <c r="C144" s="279"/>
      <c r="D144" s="279"/>
      <c r="E144" s="279"/>
      <c r="F144" s="279"/>
      <c r="G144" s="279"/>
      <c r="H144" s="279"/>
      <c r="I144" s="279"/>
      <c r="J144" s="279"/>
      <c r="K144" s="279"/>
      <c r="L144" s="279"/>
      <c r="M144" s="279"/>
      <c r="N144" s="280"/>
      <c r="O144" s="279"/>
      <c r="P144" s="280"/>
      <c r="Q144" s="279"/>
      <c r="R144" s="279"/>
      <c r="S144" s="279"/>
      <c r="T144" s="279"/>
      <c r="U144" s="280"/>
      <c r="V144" s="279"/>
      <c r="W144" s="279"/>
      <c r="X144" s="279"/>
      <c r="Y144" s="279"/>
      <c r="Z144" s="280"/>
      <c r="AA144" s="279"/>
      <c r="AB144" s="279"/>
      <c r="AC144" s="279"/>
      <c r="AD144" s="279"/>
      <c r="AE144" s="279"/>
      <c r="AF144" s="279"/>
      <c r="AG144" s="279"/>
      <c r="AH144" s="279"/>
      <c r="AI144" s="279"/>
      <c r="AJ144" s="279"/>
      <c r="AK144" s="280"/>
      <c r="AL144" s="279"/>
      <c r="AM144" s="279"/>
      <c r="AN144" s="280"/>
      <c r="AO144" s="279"/>
      <c r="AP144" s="280"/>
      <c r="AQ144" s="279"/>
      <c r="AR144" s="285"/>
      <c r="AS144" s="279"/>
      <c r="AT144" s="279"/>
      <c r="AU144" s="279"/>
      <c r="AV144" s="279"/>
      <c r="AW144" s="284"/>
      <c r="AX144" s="285"/>
      <c r="AY144" s="285"/>
      <c r="AZ144" s="285"/>
      <c r="BA144" s="285"/>
      <c r="BB144" s="285"/>
      <c r="BC144" s="285"/>
      <c r="BD144" s="285"/>
      <c r="BE144" s="280"/>
      <c r="BF144" s="284"/>
      <c r="BG144" s="285"/>
      <c r="BH144" s="285"/>
      <c r="BI144" s="285"/>
      <c r="BJ144" s="285"/>
      <c r="BK144" s="285"/>
      <c r="BL144" s="285"/>
      <c r="BM144" s="285"/>
      <c r="BN144" s="280"/>
      <c r="BO144" s="279"/>
      <c r="BP144" s="279"/>
      <c r="BQ144" s="279"/>
      <c r="BR144" s="278"/>
      <c r="BS144" s="279"/>
      <c r="BT144" s="279"/>
      <c r="BU144" s="279"/>
      <c r="BV144" s="279"/>
      <c r="BW144" s="279"/>
      <c r="BX144" s="279"/>
      <c r="BY144" s="279"/>
      <c r="BZ144" s="279"/>
      <c r="CA144" s="279"/>
      <c r="CB144" s="279"/>
      <c r="CC144" s="279"/>
      <c r="CD144" s="279"/>
      <c r="CE144" s="279"/>
    </row>
    <row r="145" spans="1:83">
      <c r="A145" s="278"/>
      <c r="B145" s="278"/>
      <c r="C145" s="279"/>
      <c r="D145" s="279"/>
      <c r="E145" s="279"/>
      <c r="F145" s="279"/>
      <c r="G145" s="279"/>
      <c r="H145" s="279"/>
      <c r="I145" s="279"/>
      <c r="J145" s="279"/>
      <c r="K145" s="279"/>
      <c r="L145" s="279"/>
      <c r="M145" s="279"/>
      <c r="N145" s="280"/>
      <c r="O145" s="279"/>
      <c r="P145" s="280"/>
      <c r="Q145" s="279"/>
      <c r="R145" s="279"/>
      <c r="S145" s="279"/>
      <c r="T145" s="279"/>
      <c r="U145" s="280"/>
      <c r="V145" s="279"/>
      <c r="W145" s="279"/>
      <c r="X145" s="279"/>
      <c r="Y145" s="279"/>
      <c r="Z145" s="280"/>
      <c r="AA145" s="279"/>
      <c r="AB145" s="279"/>
      <c r="AC145" s="279"/>
      <c r="AD145" s="279"/>
      <c r="AE145" s="279"/>
      <c r="AF145" s="279"/>
      <c r="AG145" s="279"/>
      <c r="AH145" s="279"/>
      <c r="AI145" s="279"/>
      <c r="AJ145" s="279"/>
      <c r="AK145" s="280"/>
      <c r="AL145" s="279"/>
      <c r="AM145" s="279"/>
      <c r="AN145" s="280"/>
      <c r="AO145" s="279"/>
      <c r="AP145" s="280"/>
      <c r="AQ145" s="279"/>
      <c r="AR145" s="285"/>
      <c r="AS145" s="279"/>
      <c r="AT145" s="279"/>
      <c r="AU145" s="279"/>
      <c r="AV145" s="279"/>
      <c r="AW145" s="284"/>
      <c r="AX145" s="285"/>
      <c r="AY145" s="285"/>
      <c r="AZ145" s="285"/>
      <c r="BA145" s="285"/>
      <c r="BB145" s="285"/>
      <c r="BC145" s="285"/>
      <c r="BD145" s="285"/>
      <c r="BE145" s="280"/>
      <c r="BF145" s="284"/>
      <c r="BG145" s="285"/>
      <c r="BH145" s="285"/>
      <c r="BI145" s="285"/>
      <c r="BJ145" s="285"/>
      <c r="BK145" s="285"/>
      <c r="BL145" s="285"/>
      <c r="BM145" s="285"/>
      <c r="BN145" s="280"/>
      <c r="BO145" s="279"/>
      <c r="BP145" s="279"/>
      <c r="BQ145" s="279"/>
      <c r="BR145" s="278"/>
      <c r="BS145" s="279"/>
      <c r="BT145" s="279"/>
      <c r="BU145" s="279"/>
      <c r="BV145" s="279"/>
      <c r="BW145" s="279"/>
      <c r="BX145" s="279"/>
      <c r="BY145" s="279"/>
      <c r="BZ145" s="279"/>
      <c r="CA145" s="279"/>
      <c r="CB145" s="279"/>
      <c r="CC145" s="279"/>
      <c r="CD145" s="279"/>
      <c r="CE145" s="279"/>
    </row>
    <row r="146" spans="1:83">
      <c r="A146" s="278"/>
      <c r="B146" s="278"/>
      <c r="C146" s="279"/>
      <c r="D146" s="279"/>
      <c r="E146" s="279"/>
      <c r="F146" s="279"/>
      <c r="G146" s="279"/>
      <c r="H146" s="279"/>
      <c r="I146" s="279"/>
      <c r="J146" s="279"/>
      <c r="K146" s="279"/>
      <c r="L146" s="279"/>
      <c r="M146" s="279"/>
      <c r="N146" s="280"/>
      <c r="O146" s="279"/>
      <c r="P146" s="280"/>
      <c r="Q146" s="279"/>
      <c r="R146" s="279"/>
      <c r="S146" s="279"/>
      <c r="T146" s="279"/>
      <c r="U146" s="280"/>
      <c r="V146" s="279"/>
      <c r="W146" s="279"/>
      <c r="X146" s="279"/>
      <c r="Y146" s="279"/>
      <c r="Z146" s="280"/>
      <c r="AA146" s="279"/>
      <c r="AB146" s="279"/>
      <c r="AC146" s="279"/>
      <c r="AD146" s="279"/>
      <c r="AE146" s="279"/>
      <c r="AF146" s="279"/>
      <c r="AG146" s="279"/>
      <c r="AH146" s="279"/>
      <c r="AI146" s="279"/>
      <c r="AJ146" s="279"/>
      <c r="AK146" s="280"/>
      <c r="AL146" s="279"/>
      <c r="AM146" s="279"/>
      <c r="AN146" s="280"/>
      <c r="AO146" s="279"/>
      <c r="AP146" s="280"/>
      <c r="AQ146" s="279"/>
      <c r="AR146" s="285"/>
      <c r="AS146" s="279"/>
      <c r="AT146" s="279"/>
      <c r="AU146" s="279"/>
      <c r="AV146" s="279"/>
      <c r="AW146" s="284"/>
      <c r="AX146" s="285"/>
      <c r="AY146" s="285"/>
      <c r="AZ146" s="285"/>
      <c r="BA146" s="285"/>
      <c r="BB146" s="285"/>
      <c r="BC146" s="285"/>
      <c r="BD146" s="285"/>
      <c r="BE146" s="280"/>
      <c r="BF146" s="284"/>
      <c r="BG146" s="285"/>
      <c r="BH146" s="285"/>
      <c r="BI146" s="285"/>
      <c r="BJ146" s="285"/>
      <c r="BK146" s="285"/>
      <c r="BL146" s="285"/>
      <c r="BM146" s="285"/>
      <c r="BN146" s="280"/>
      <c r="BO146" s="279"/>
      <c r="BP146" s="279"/>
      <c r="BQ146" s="279"/>
      <c r="BR146" s="278"/>
      <c r="BS146" s="279"/>
      <c r="BT146" s="279"/>
      <c r="BU146" s="279"/>
      <c r="BV146" s="279"/>
      <c r="BW146" s="279"/>
      <c r="BX146" s="279"/>
      <c r="BY146" s="279"/>
      <c r="BZ146" s="279"/>
      <c r="CA146" s="279"/>
      <c r="CB146" s="279"/>
      <c r="CC146" s="279"/>
      <c r="CD146" s="279"/>
      <c r="CE146" s="279"/>
    </row>
    <row r="147" spans="1:83">
      <c r="A147" s="278"/>
      <c r="B147" s="278"/>
      <c r="C147" s="279"/>
      <c r="D147" s="279"/>
      <c r="E147" s="279"/>
      <c r="F147" s="279"/>
      <c r="G147" s="279"/>
      <c r="H147" s="279"/>
      <c r="I147" s="279"/>
      <c r="J147" s="279"/>
      <c r="K147" s="279"/>
      <c r="L147" s="279"/>
      <c r="M147" s="279"/>
      <c r="N147" s="280"/>
      <c r="O147" s="279"/>
      <c r="P147" s="280"/>
      <c r="Q147" s="279"/>
      <c r="R147" s="279"/>
      <c r="S147" s="279"/>
      <c r="T147" s="279"/>
      <c r="U147" s="280"/>
      <c r="V147" s="279"/>
      <c r="W147" s="279"/>
      <c r="X147" s="279"/>
      <c r="Y147" s="279"/>
      <c r="Z147" s="280"/>
      <c r="AA147" s="279"/>
      <c r="AB147" s="279"/>
      <c r="AC147" s="279"/>
      <c r="AD147" s="279"/>
      <c r="AE147" s="279"/>
      <c r="AF147" s="279"/>
      <c r="AG147" s="279"/>
      <c r="AH147" s="279"/>
      <c r="AI147" s="279"/>
      <c r="AJ147" s="279"/>
      <c r="AK147" s="280"/>
      <c r="AL147" s="279"/>
      <c r="AM147" s="279"/>
      <c r="AN147" s="280"/>
      <c r="AO147" s="279"/>
      <c r="AP147" s="280"/>
      <c r="AQ147" s="279"/>
      <c r="AR147" s="285"/>
      <c r="AS147" s="279"/>
      <c r="AT147" s="279"/>
      <c r="AU147" s="279"/>
      <c r="AV147" s="279"/>
      <c r="AW147" s="284"/>
      <c r="AX147" s="285"/>
      <c r="AY147" s="285"/>
      <c r="AZ147" s="285"/>
      <c r="BA147" s="285"/>
      <c r="BB147" s="285"/>
      <c r="BC147" s="285"/>
      <c r="BD147" s="285"/>
      <c r="BE147" s="280"/>
      <c r="BF147" s="284"/>
      <c r="BG147" s="285"/>
      <c r="BH147" s="285"/>
      <c r="BI147" s="285"/>
      <c r="BJ147" s="285"/>
      <c r="BK147" s="285"/>
      <c r="BL147" s="285"/>
      <c r="BM147" s="285"/>
      <c r="BN147" s="280"/>
      <c r="BO147" s="279"/>
      <c r="BP147" s="279"/>
      <c r="BQ147" s="279"/>
      <c r="BR147" s="278"/>
      <c r="BS147" s="279"/>
      <c r="BT147" s="279"/>
      <c r="BU147" s="279"/>
      <c r="BV147" s="279"/>
      <c r="BW147" s="279"/>
      <c r="BX147" s="279"/>
      <c r="BY147" s="279"/>
      <c r="BZ147" s="279"/>
      <c r="CA147" s="279"/>
      <c r="CB147" s="279"/>
      <c r="CC147" s="279"/>
      <c r="CD147" s="279"/>
      <c r="CE147" s="279"/>
    </row>
    <row r="148" spans="1:83">
      <c r="A148" s="278"/>
      <c r="B148" s="278"/>
      <c r="C148" s="279"/>
      <c r="D148" s="279"/>
      <c r="E148" s="279"/>
      <c r="F148" s="279"/>
      <c r="G148" s="279"/>
      <c r="H148" s="279"/>
      <c r="I148" s="279"/>
      <c r="J148" s="279"/>
      <c r="K148" s="279"/>
      <c r="L148" s="279"/>
      <c r="M148" s="279"/>
      <c r="N148" s="280"/>
      <c r="O148" s="279"/>
      <c r="P148" s="280"/>
      <c r="Q148" s="279"/>
      <c r="R148" s="279"/>
      <c r="S148" s="279"/>
      <c r="T148" s="279"/>
      <c r="U148" s="280"/>
      <c r="V148" s="279"/>
      <c r="W148" s="279"/>
      <c r="X148" s="279"/>
      <c r="Y148" s="279"/>
      <c r="Z148" s="280"/>
      <c r="AA148" s="279"/>
      <c r="AB148" s="279"/>
      <c r="AC148" s="279"/>
      <c r="AD148" s="279"/>
      <c r="AE148" s="279"/>
      <c r="AF148" s="279"/>
      <c r="AG148" s="279"/>
      <c r="AH148" s="279"/>
      <c r="AI148" s="279"/>
      <c r="AJ148" s="279"/>
      <c r="AK148" s="280"/>
      <c r="AL148" s="279"/>
      <c r="AM148" s="279"/>
      <c r="AN148" s="280"/>
      <c r="AO148" s="279"/>
      <c r="AP148" s="280"/>
      <c r="AQ148" s="279"/>
      <c r="AR148" s="285"/>
      <c r="AS148" s="279"/>
      <c r="AT148" s="279"/>
      <c r="AU148" s="279"/>
      <c r="AV148" s="279"/>
      <c r="AW148" s="284"/>
      <c r="AX148" s="285"/>
      <c r="AY148" s="285"/>
      <c r="AZ148" s="285"/>
      <c r="BA148" s="285"/>
      <c r="BB148" s="285"/>
      <c r="BC148" s="285"/>
      <c r="BD148" s="285"/>
      <c r="BE148" s="280"/>
      <c r="BF148" s="284"/>
      <c r="BG148" s="285"/>
      <c r="BH148" s="285"/>
      <c r="BI148" s="285"/>
      <c r="BJ148" s="285"/>
      <c r="BK148" s="285"/>
      <c r="BL148" s="285"/>
      <c r="BM148" s="285"/>
      <c r="BN148" s="280"/>
      <c r="BO148" s="279"/>
      <c r="BP148" s="279"/>
      <c r="BQ148" s="279"/>
      <c r="BR148" s="278"/>
      <c r="BS148" s="279"/>
      <c r="BT148" s="279"/>
      <c r="BU148" s="279"/>
      <c r="BV148" s="279"/>
      <c r="BW148" s="279"/>
      <c r="BX148" s="279"/>
      <c r="BY148" s="279"/>
      <c r="BZ148" s="279"/>
      <c r="CA148" s="279"/>
      <c r="CB148" s="279"/>
      <c r="CC148" s="279"/>
      <c r="CD148" s="279"/>
      <c r="CE148" s="279"/>
    </row>
    <row r="149" spans="1:83">
      <c r="A149" s="278"/>
      <c r="B149" s="278"/>
      <c r="C149" s="279"/>
      <c r="D149" s="279"/>
      <c r="E149" s="279"/>
      <c r="F149" s="279"/>
      <c r="G149" s="279"/>
      <c r="H149" s="279"/>
      <c r="I149" s="279"/>
      <c r="J149" s="279"/>
      <c r="K149" s="279"/>
      <c r="L149" s="279"/>
      <c r="M149" s="279"/>
      <c r="N149" s="280"/>
      <c r="O149" s="279"/>
      <c r="P149" s="280"/>
      <c r="Q149" s="279"/>
      <c r="R149" s="279"/>
      <c r="S149" s="279"/>
      <c r="T149" s="279"/>
      <c r="U149" s="280"/>
      <c r="V149" s="279"/>
      <c r="W149" s="279"/>
      <c r="X149" s="279"/>
      <c r="Y149" s="279"/>
      <c r="Z149" s="280"/>
      <c r="AA149" s="279"/>
      <c r="AB149" s="279"/>
      <c r="AC149" s="279"/>
      <c r="AD149" s="279"/>
      <c r="AE149" s="279"/>
      <c r="AF149" s="279"/>
      <c r="AG149" s="279"/>
      <c r="AH149" s="279"/>
      <c r="AI149" s="279"/>
      <c r="AJ149" s="279"/>
      <c r="AK149" s="280"/>
      <c r="AL149" s="279"/>
      <c r="AM149" s="279"/>
      <c r="AN149" s="280"/>
      <c r="AO149" s="279"/>
      <c r="AP149" s="280"/>
      <c r="AQ149" s="279"/>
      <c r="AR149" s="285"/>
      <c r="AS149" s="279"/>
      <c r="AT149" s="279"/>
      <c r="AU149" s="279"/>
      <c r="AV149" s="279"/>
      <c r="AW149" s="284"/>
      <c r="AX149" s="285"/>
      <c r="AY149" s="285"/>
      <c r="AZ149" s="285"/>
      <c r="BA149" s="285"/>
      <c r="BB149" s="285"/>
      <c r="BC149" s="285"/>
      <c r="BD149" s="285"/>
      <c r="BE149" s="280"/>
      <c r="BF149" s="284"/>
      <c r="BG149" s="285"/>
      <c r="BH149" s="285"/>
      <c r="BI149" s="285"/>
      <c r="BJ149" s="285"/>
      <c r="BK149" s="285"/>
      <c r="BL149" s="285"/>
      <c r="BM149" s="285"/>
      <c r="BN149" s="280"/>
      <c r="BO149" s="279"/>
      <c r="BP149" s="279"/>
      <c r="BQ149" s="279"/>
      <c r="BR149" s="278"/>
      <c r="BS149" s="279"/>
      <c r="BT149" s="279"/>
      <c r="BU149" s="279"/>
      <c r="BV149" s="279"/>
      <c r="BW149" s="279"/>
      <c r="BX149" s="279"/>
      <c r="BY149" s="279"/>
      <c r="BZ149" s="279"/>
      <c r="CA149" s="279"/>
      <c r="CB149" s="279"/>
      <c r="CC149" s="279"/>
      <c r="CD149" s="279"/>
      <c r="CE149" s="279"/>
    </row>
    <row r="150" spans="1:83">
      <c r="A150" s="278"/>
      <c r="B150" s="278"/>
      <c r="C150" s="279"/>
      <c r="D150" s="279"/>
      <c r="E150" s="279"/>
      <c r="F150" s="279"/>
      <c r="G150" s="279"/>
      <c r="H150" s="279"/>
      <c r="I150" s="279"/>
      <c r="J150" s="279"/>
      <c r="K150" s="279"/>
      <c r="L150" s="279"/>
      <c r="M150" s="279"/>
      <c r="N150" s="280"/>
      <c r="O150" s="279"/>
      <c r="P150" s="280"/>
      <c r="Q150" s="279"/>
      <c r="R150" s="279"/>
      <c r="S150" s="279"/>
      <c r="T150" s="279"/>
      <c r="U150" s="280"/>
      <c r="V150" s="279"/>
      <c r="W150" s="279"/>
      <c r="X150" s="279"/>
      <c r="Y150" s="279"/>
      <c r="Z150" s="280"/>
      <c r="AA150" s="279"/>
      <c r="AB150" s="279"/>
      <c r="AC150" s="279"/>
      <c r="AD150" s="279"/>
      <c r="AE150" s="279"/>
      <c r="AF150" s="279"/>
      <c r="AG150" s="279"/>
      <c r="AH150" s="279"/>
      <c r="AI150" s="279"/>
      <c r="AJ150" s="279"/>
      <c r="AK150" s="280"/>
      <c r="AL150" s="279"/>
      <c r="AM150" s="279"/>
      <c r="AN150" s="280"/>
      <c r="AO150" s="279"/>
      <c r="AP150" s="280"/>
      <c r="AQ150" s="279"/>
      <c r="AR150" s="285"/>
      <c r="AS150" s="279"/>
      <c r="AT150" s="279"/>
      <c r="AU150" s="279"/>
      <c r="AV150" s="279"/>
      <c r="AW150" s="284"/>
      <c r="AX150" s="285"/>
      <c r="AY150" s="285"/>
      <c r="AZ150" s="285"/>
      <c r="BA150" s="285"/>
      <c r="BB150" s="285"/>
      <c r="BC150" s="285"/>
      <c r="BD150" s="285"/>
      <c r="BE150" s="280"/>
      <c r="BF150" s="284"/>
      <c r="BG150" s="285"/>
      <c r="BH150" s="285"/>
      <c r="BI150" s="285"/>
      <c r="BJ150" s="285"/>
      <c r="BK150" s="285"/>
      <c r="BL150" s="285"/>
      <c r="BM150" s="285"/>
      <c r="BN150" s="280"/>
      <c r="BO150" s="279"/>
      <c r="BP150" s="279"/>
      <c r="BQ150" s="279"/>
      <c r="BR150" s="278"/>
      <c r="BS150" s="279"/>
      <c r="BT150" s="279"/>
      <c r="BU150" s="279"/>
      <c r="BV150" s="279"/>
      <c r="BW150" s="279"/>
      <c r="BX150" s="279"/>
      <c r="BY150" s="279"/>
      <c r="BZ150" s="279"/>
      <c r="CA150" s="279"/>
      <c r="CB150" s="279"/>
      <c r="CC150" s="279"/>
      <c r="CD150" s="279"/>
      <c r="CE150" s="279"/>
    </row>
    <row r="151" spans="1:83">
      <c r="A151" s="278"/>
      <c r="B151" s="278"/>
      <c r="C151" s="279"/>
      <c r="D151" s="279"/>
      <c r="E151" s="279"/>
      <c r="F151" s="279"/>
      <c r="G151" s="279"/>
      <c r="H151" s="279"/>
      <c r="I151" s="279"/>
      <c r="J151" s="279"/>
      <c r="K151" s="279"/>
      <c r="L151" s="279"/>
      <c r="M151" s="279"/>
      <c r="N151" s="280"/>
      <c r="O151" s="279"/>
      <c r="P151" s="280"/>
      <c r="Q151" s="279"/>
      <c r="R151" s="279"/>
      <c r="S151" s="279"/>
      <c r="T151" s="279"/>
      <c r="U151" s="280"/>
      <c r="V151" s="279"/>
      <c r="W151" s="279"/>
      <c r="X151" s="279"/>
      <c r="Y151" s="279"/>
      <c r="Z151" s="280"/>
      <c r="AA151" s="279"/>
      <c r="AB151" s="279"/>
      <c r="AC151" s="279"/>
      <c r="AD151" s="279"/>
      <c r="AE151" s="279"/>
      <c r="AF151" s="279"/>
      <c r="AG151" s="279"/>
      <c r="AH151" s="279"/>
      <c r="AI151" s="279"/>
      <c r="AJ151" s="279"/>
      <c r="AK151" s="280"/>
      <c r="AL151" s="279"/>
      <c r="AM151" s="279"/>
      <c r="AN151" s="280"/>
      <c r="AO151" s="279"/>
      <c r="AP151" s="280"/>
      <c r="AQ151" s="279"/>
      <c r="AR151" s="285"/>
      <c r="AS151" s="279"/>
      <c r="AT151" s="279"/>
      <c r="AU151" s="279"/>
      <c r="AV151" s="279"/>
      <c r="AW151" s="284"/>
      <c r="AX151" s="285"/>
      <c r="AY151" s="285"/>
      <c r="AZ151" s="285"/>
      <c r="BA151" s="285"/>
      <c r="BB151" s="285"/>
      <c r="BC151" s="285"/>
      <c r="BD151" s="285"/>
      <c r="BE151" s="280"/>
      <c r="BF151" s="284"/>
      <c r="BG151" s="285"/>
      <c r="BH151" s="285"/>
      <c r="BI151" s="285"/>
      <c r="BJ151" s="285"/>
      <c r="BK151" s="285"/>
      <c r="BL151" s="285"/>
      <c r="BM151" s="285"/>
      <c r="BN151" s="280"/>
      <c r="BO151" s="279"/>
      <c r="BP151" s="279"/>
      <c r="BQ151" s="279"/>
      <c r="BR151" s="278"/>
      <c r="BS151" s="279"/>
      <c r="BT151" s="279"/>
      <c r="BU151" s="279"/>
      <c r="BV151" s="279"/>
      <c r="BW151" s="279"/>
      <c r="BX151" s="279"/>
      <c r="BY151" s="279"/>
      <c r="BZ151" s="279"/>
      <c r="CA151" s="279"/>
      <c r="CB151" s="279"/>
      <c r="CC151" s="279"/>
      <c r="CD151" s="279"/>
      <c r="CE151" s="279"/>
    </row>
    <row r="152" spans="1:83">
      <c r="A152" s="278"/>
      <c r="B152" s="278"/>
      <c r="C152" s="279"/>
      <c r="D152" s="279"/>
      <c r="E152" s="279"/>
      <c r="F152" s="279"/>
      <c r="G152" s="279"/>
      <c r="H152" s="279"/>
      <c r="I152" s="279"/>
      <c r="J152" s="279"/>
      <c r="K152" s="279"/>
      <c r="L152" s="279"/>
      <c r="M152" s="279"/>
      <c r="N152" s="280"/>
      <c r="O152" s="279"/>
      <c r="P152" s="280"/>
      <c r="Q152" s="279"/>
      <c r="R152" s="279"/>
      <c r="S152" s="279"/>
      <c r="T152" s="279"/>
      <c r="U152" s="280"/>
      <c r="V152" s="279"/>
      <c r="W152" s="279"/>
      <c r="X152" s="279"/>
      <c r="Y152" s="279"/>
      <c r="Z152" s="280"/>
      <c r="AA152" s="279"/>
      <c r="AB152" s="279"/>
      <c r="AC152" s="279"/>
      <c r="AD152" s="279"/>
      <c r="AE152" s="279"/>
      <c r="AF152" s="279"/>
      <c r="AG152" s="279"/>
      <c r="AH152" s="279"/>
      <c r="AI152" s="279"/>
      <c r="AJ152" s="279"/>
      <c r="AK152" s="280"/>
      <c r="AL152" s="279"/>
      <c r="AM152" s="279"/>
      <c r="AN152" s="280"/>
      <c r="AO152" s="279"/>
      <c r="AP152" s="280"/>
      <c r="AQ152" s="279"/>
      <c r="AR152" s="285"/>
      <c r="AS152" s="279"/>
      <c r="AT152" s="279"/>
      <c r="AU152" s="279"/>
      <c r="AV152" s="279"/>
      <c r="AW152" s="284"/>
      <c r="AX152" s="285"/>
      <c r="AY152" s="285"/>
      <c r="AZ152" s="285"/>
      <c r="BA152" s="285"/>
      <c r="BB152" s="285"/>
      <c r="BC152" s="285"/>
      <c r="BD152" s="285"/>
      <c r="BE152" s="280"/>
      <c r="BF152" s="284"/>
      <c r="BG152" s="285"/>
      <c r="BH152" s="285"/>
      <c r="BI152" s="285"/>
      <c r="BJ152" s="285"/>
      <c r="BK152" s="285"/>
      <c r="BL152" s="285"/>
      <c r="BM152" s="285"/>
      <c r="BN152" s="280"/>
      <c r="BO152" s="279"/>
      <c r="BP152" s="279"/>
      <c r="BQ152" s="279"/>
      <c r="BR152" s="278"/>
      <c r="BS152" s="279"/>
      <c r="BT152" s="279"/>
      <c r="BU152" s="279"/>
      <c r="BV152" s="279"/>
      <c r="BW152" s="279"/>
      <c r="BX152" s="279"/>
      <c r="BY152" s="279"/>
      <c r="BZ152" s="279"/>
      <c r="CA152" s="279"/>
      <c r="CB152" s="279"/>
      <c r="CC152" s="279"/>
      <c r="CD152" s="279"/>
      <c r="CE152" s="279"/>
    </row>
    <row r="153" spans="1:83">
      <c r="A153" s="278"/>
      <c r="B153" s="278"/>
      <c r="C153" s="279"/>
      <c r="D153" s="279"/>
      <c r="E153" s="279"/>
      <c r="F153" s="279"/>
      <c r="G153" s="279"/>
      <c r="H153" s="279"/>
      <c r="I153" s="279"/>
      <c r="J153" s="279"/>
      <c r="K153" s="279"/>
      <c r="L153" s="279"/>
      <c r="M153" s="279"/>
      <c r="N153" s="280"/>
      <c r="O153" s="279"/>
      <c r="P153" s="280"/>
      <c r="Q153" s="279"/>
      <c r="R153" s="279"/>
      <c r="S153" s="279"/>
      <c r="T153" s="279"/>
      <c r="U153" s="280"/>
      <c r="V153" s="279"/>
      <c r="W153" s="279"/>
      <c r="X153" s="279"/>
      <c r="Y153" s="279"/>
      <c r="Z153" s="280"/>
      <c r="AA153" s="279"/>
      <c r="AB153" s="279"/>
      <c r="AC153" s="279"/>
      <c r="AD153" s="279"/>
      <c r="AE153" s="279"/>
      <c r="AF153" s="279"/>
      <c r="AG153" s="279"/>
      <c r="AH153" s="279"/>
      <c r="AI153" s="279"/>
      <c r="AJ153" s="279"/>
      <c r="AK153" s="280"/>
      <c r="AL153" s="279"/>
      <c r="AM153" s="279"/>
      <c r="AN153" s="280"/>
      <c r="AO153" s="279"/>
      <c r="AP153" s="280"/>
      <c r="AQ153" s="279"/>
      <c r="AR153" s="285"/>
      <c r="AS153" s="279"/>
      <c r="AT153" s="279"/>
      <c r="AU153" s="279"/>
      <c r="AV153" s="279"/>
      <c r="AW153" s="284"/>
      <c r="AX153" s="285"/>
      <c r="AY153" s="285"/>
      <c r="AZ153" s="285"/>
      <c r="BA153" s="285"/>
      <c r="BB153" s="285"/>
      <c r="BC153" s="285"/>
      <c r="BD153" s="285"/>
      <c r="BE153" s="280"/>
      <c r="BF153" s="284"/>
      <c r="BG153" s="285"/>
      <c r="BH153" s="285"/>
      <c r="BI153" s="285"/>
      <c r="BJ153" s="285"/>
      <c r="BK153" s="285"/>
      <c r="BL153" s="285"/>
      <c r="BM153" s="285"/>
      <c r="BN153" s="280"/>
      <c r="BO153" s="279"/>
      <c r="BP153" s="279"/>
      <c r="BQ153" s="279"/>
      <c r="BR153" s="278"/>
      <c r="BS153" s="279"/>
      <c r="BT153" s="279"/>
      <c r="BU153" s="279"/>
      <c r="BV153" s="279"/>
      <c r="BW153" s="279"/>
      <c r="BX153" s="279"/>
      <c r="BY153" s="279"/>
      <c r="BZ153" s="279"/>
      <c r="CA153" s="279"/>
      <c r="CB153" s="279"/>
      <c r="CC153" s="279"/>
      <c r="CD153" s="279"/>
      <c r="CE153" s="279"/>
    </row>
    <row r="154" spans="1:83">
      <c r="A154" s="278"/>
      <c r="B154" s="278"/>
      <c r="C154" s="279"/>
      <c r="D154" s="279"/>
      <c r="E154" s="279"/>
      <c r="F154" s="279"/>
      <c r="G154" s="279"/>
      <c r="H154" s="279"/>
      <c r="I154" s="279"/>
      <c r="J154" s="279"/>
      <c r="K154" s="279"/>
      <c r="L154" s="279"/>
      <c r="M154" s="279"/>
      <c r="N154" s="280"/>
      <c r="O154" s="279"/>
      <c r="P154" s="280"/>
      <c r="Q154" s="279"/>
      <c r="R154" s="279"/>
      <c r="S154" s="279"/>
      <c r="T154" s="279"/>
      <c r="U154" s="280"/>
      <c r="V154" s="279"/>
      <c r="W154" s="279"/>
      <c r="X154" s="279"/>
      <c r="Y154" s="279"/>
      <c r="Z154" s="280"/>
      <c r="AA154" s="279"/>
      <c r="AB154" s="279"/>
      <c r="AC154" s="279"/>
      <c r="AD154" s="279"/>
      <c r="AE154" s="279"/>
      <c r="AF154" s="279"/>
      <c r="AG154" s="279"/>
      <c r="AH154" s="279"/>
      <c r="AI154" s="279"/>
      <c r="AJ154" s="279"/>
      <c r="AK154" s="280"/>
      <c r="AL154" s="279"/>
      <c r="AM154" s="279"/>
      <c r="AN154" s="280"/>
      <c r="AO154" s="279"/>
      <c r="AP154" s="280"/>
      <c r="AQ154" s="279"/>
      <c r="AR154" s="285"/>
      <c r="AS154" s="279"/>
      <c r="AT154" s="279"/>
      <c r="AU154" s="279"/>
      <c r="AV154" s="279"/>
      <c r="AW154" s="284"/>
      <c r="AX154" s="285"/>
      <c r="AY154" s="285"/>
      <c r="AZ154" s="285"/>
      <c r="BA154" s="285"/>
      <c r="BB154" s="285"/>
      <c r="BC154" s="285"/>
      <c r="BD154" s="285"/>
      <c r="BE154" s="280"/>
      <c r="BF154" s="284"/>
      <c r="BG154" s="285"/>
      <c r="BH154" s="285"/>
      <c r="BI154" s="285"/>
      <c r="BJ154" s="285"/>
      <c r="BK154" s="285"/>
      <c r="BL154" s="285"/>
      <c r="BM154" s="285"/>
      <c r="BN154" s="280"/>
      <c r="BO154" s="279"/>
      <c r="BP154" s="279"/>
      <c r="BQ154" s="279"/>
      <c r="BR154" s="278"/>
      <c r="BS154" s="279"/>
      <c r="BT154" s="279"/>
      <c r="BU154" s="279"/>
      <c r="BV154" s="279"/>
      <c r="BW154" s="279"/>
      <c r="BX154" s="279"/>
      <c r="BY154" s="279"/>
      <c r="BZ154" s="279"/>
      <c r="CA154" s="279"/>
      <c r="CB154" s="279"/>
      <c r="CC154" s="279"/>
      <c r="CD154" s="279"/>
      <c r="CE154" s="279"/>
    </row>
    <row r="155" spans="1:83">
      <c r="A155" s="278"/>
      <c r="B155" s="278"/>
      <c r="C155" s="279"/>
      <c r="D155" s="279"/>
      <c r="E155" s="279"/>
      <c r="F155" s="279"/>
      <c r="G155" s="279"/>
      <c r="H155" s="279"/>
      <c r="I155" s="279"/>
      <c r="J155" s="279"/>
      <c r="K155" s="279"/>
      <c r="L155" s="279"/>
      <c r="M155" s="279"/>
      <c r="N155" s="280"/>
      <c r="O155" s="279"/>
      <c r="P155" s="280"/>
      <c r="Q155" s="279"/>
      <c r="R155" s="279"/>
      <c r="S155" s="279"/>
      <c r="T155" s="279"/>
      <c r="U155" s="280"/>
      <c r="V155" s="279"/>
      <c r="W155" s="279"/>
      <c r="X155" s="279"/>
      <c r="Y155" s="279"/>
      <c r="Z155" s="280"/>
      <c r="AA155" s="279"/>
      <c r="AB155" s="279"/>
      <c r="AC155" s="279"/>
      <c r="AD155" s="279"/>
      <c r="AE155" s="279"/>
      <c r="AF155" s="279"/>
      <c r="AG155" s="279"/>
      <c r="AH155" s="279"/>
      <c r="AI155" s="279"/>
      <c r="AJ155" s="279"/>
      <c r="AK155" s="280"/>
      <c r="AL155" s="279"/>
      <c r="AM155" s="279"/>
      <c r="AN155" s="280"/>
      <c r="AO155" s="279"/>
      <c r="AP155" s="280"/>
      <c r="AQ155" s="279"/>
      <c r="AR155" s="285"/>
      <c r="AS155" s="279"/>
      <c r="AT155" s="279"/>
      <c r="AU155" s="279"/>
      <c r="AV155" s="279"/>
      <c r="AW155" s="284"/>
      <c r="AX155" s="285"/>
      <c r="AY155" s="285"/>
      <c r="AZ155" s="285"/>
      <c r="BA155" s="285"/>
      <c r="BB155" s="285"/>
      <c r="BC155" s="285"/>
      <c r="BD155" s="285"/>
      <c r="BE155" s="280"/>
      <c r="BF155" s="284"/>
      <c r="BG155" s="285"/>
      <c r="BH155" s="285"/>
      <c r="BI155" s="285"/>
      <c r="BJ155" s="285"/>
      <c r="BK155" s="285"/>
      <c r="BL155" s="285"/>
      <c r="BM155" s="285"/>
      <c r="BN155" s="280"/>
      <c r="BO155" s="279"/>
      <c r="BP155" s="279"/>
      <c r="BQ155" s="279"/>
      <c r="BR155" s="278"/>
      <c r="BS155" s="279"/>
      <c r="BT155" s="279"/>
      <c r="BU155" s="279"/>
      <c r="BV155" s="279"/>
      <c r="BW155" s="279"/>
      <c r="BX155" s="279"/>
      <c r="BY155" s="279"/>
      <c r="BZ155" s="279"/>
      <c r="CA155" s="279"/>
      <c r="CB155" s="279"/>
      <c r="CC155" s="279"/>
      <c r="CD155" s="279"/>
      <c r="CE155" s="279"/>
    </row>
    <row r="156" spans="1:83">
      <c r="A156" s="278"/>
      <c r="B156" s="278"/>
      <c r="C156" s="279"/>
      <c r="D156" s="279"/>
      <c r="E156" s="279"/>
      <c r="F156" s="279"/>
      <c r="G156" s="279"/>
      <c r="H156" s="279"/>
      <c r="I156" s="279"/>
      <c r="J156" s="279"/>
      <c r="K156" s="279"/>
      <c r="L156" s="279"/>
      <c r="M156" s="279"/>
      <c r="N156" s="280"/>
      <c r="O156" s="279"/>
      <c r="P156" s="280"/>
      <c r="Q156" s="279"/>
      <c r="R156" s="279"/>
      <c r="S156" s="279"/>
      <c r="T156" s="279"/>
      <c r="U156" s="280"/>
      <c r="V156" s="279"/>
      <c r="W156" s="279"/>
      <c r="X156" s="279"/>
      <c r="Y156" s="279"/>
      <c r="Z156" s="280"/>
      <c r="AA156" s="279"/>
      <c r="AB156" s="279"/>
      <c r="AC156" s="279"/>
      <c r="AD156" s="279"/>
      <c r="AE156" s="279"/>
      <c r="AF156" s="279"/>
      <c r="AG156" s="279"/>
      <c r="AH156" s="279"/>
      <c r="AI156" s="279"/>
      <c r="AJ156" s="279"/>
      <c r="AK156" s="280"/>
      <c r="AL156" s="279"/>
      <c r="AM156" s="279"/>
      <c r="AN156" s="280"/>
      <c r="AO156" s="279"/>
      <c r="AP156" s="280"/>
      <c r="AQ156" s="279"/>
      <c r="AR156" s="285"/>
      <c r="AS156" s="279"/>
      <c r="AT156" s="279"/>
      <c r="AU156" s="279"/>
      <c r="AV156" s="279"/>
      <c r="AW156" s="284"/>
      <c r="AX156" s="285"/>
      <c r="AY156" s="285"/>
      <c r="AZ156" s="285"/>
      <c r="BA156" s="285"/>
      <c r="BB156" s="285"/>
      <c r="BC156" s="285"/>
      <c r="BD156" s="285"/>
      <c r="BE156" s="280"/>
      <c r="BF156" s="284"/>
      <c r="BG156" s="285"/>
      <c r="BH156" s="285"/>
      <c r="BI156" s="285"/>
      <c r="BJ156" s="285"/>
      <c r="BK156" s="285"/>
      <c r="BL156" s="285"/>
      <c r="BM156" s="285"/>
      <c r="BN156" s="280"/>
      <c r="BO156" s="279"/>
      <c r="BP156" s="279"/>
      <c r="BQ156" s="279"/>
      <c r="BR156" s="278"/>
      <c r="BS156" s="279"/>
      <c r="BT156" s="279"/>
      <c r="BU156" s="279"/>
      <c r="BV156" s="279"/>
      <c r="BW156" s="279"/>
      <c r="BX156" s="279"/>
      <c r="BY156" s="279"/>
      <c r="BZ156" s="279"/>
      <c r="CA156" s="279"/>
      <c r="CB156" s="279"/>
      <c r="CC156" s="279"/>
      <c r="CD156" s="279"/>
      <c r="CE156" s="279"/>
    </row>
    <row r="157" spans="1:83">
      <c r="A157" s="278"/>
      <c r="B157" s="278"/>
      <c r="C157" s="279"/>
      <c r="D157" s="279"/>
      <c r="E157" s="279"/>
      <c r="F157" s="279"/>
      <c r="G157" s="279"/>
      <c r="H157" s="279"/>
      <c r="I157" s="279"/>
      <c r="J157" s="279"/>
      <c r="K157" s="279"/>
      <c r="L157" s="279"/>
      <c r="M157" s="279"/>
      <c r="N157" s="280"/>
      <c r="O157" s="279"/>
      <c r="P157" s="280"/>
      <c r="Q157" s="279"/>
      <c r="R157" s="279"/>
      <c r="S157" s="279"/>
      <c r="T157" s="279"/>
      <c r="U157" s="280"/>
      <c r="V157" s="279"/>
      <c r="W157" s="279"/>
      <c r="X157" s="279"/>
      <c r="Y157" s="279"/>
      <c r="Z157" s="280"/>
      <c r="AA157" s="279"/>
      <c r="AB157" s="279"/>
      <c r="AC157" s="279"/>
      <c r="AD157" s="279"/>
      <c r="AE157" s="279"/>
      <c r="AF157" s="279"/>
      <c r="AG157" s="279"/>
      <c r="AH157" s="279"/>
      <c r="AI157" s="279"/>
      <c r="AJ157" s="279"/>
      <c r="AK157" s="280"/>
      <c r="AL157" s="279"/>
      <c r="AM157" s="279"/>
      <c r="AN157" s="280"/>
      <c r="AO157" s="279"/>
      <c r="AP157" s="280"/>
      <c r="AQ157" s="279"/>
      <c r="AR157" s="285"/>
      <c r="AS157" s="279"/>
      <c r="AT157" s="279"/>
      <c r="AU157" s="279"/>
      <c r="AV157" s="279"/>
      <c r="AW157" s="284"/>
      <c r="AX157" s="285"/>
      <c r="AY157" s="285"/>
      <c r="AZ157" s="285"/>
      <c r="BA157" s="285"/>
      <c r="BB157" s="285"/>
      <c r="BC157" s="285"/>
      <c r="BD157" s="285"/>
      <c r="BE157" s="280"/>
      <c r="BF157" s="284"/>
      <c r="BG157" s="285"/>
      <c r="BH157" s="285"/>
      <c r="BI157" s="285"/>
      <c r="BJ157" s="285"/>
      <c r="BK157" s="285"/>
      <c r="BL157" s="285"/>
      <c r="BM157" s="285"/>
      <c r="BN157" s="280"/>
      <c r="BO157" s="279"/>
      <c r="BP157" s="279"/>
      <c r="BQ157" s="279"/>
      <c r="BR157" s="278"/>
      <c r="BS157" s="279"/>
      <c r="BT157" s="279"/>
      <c r="BU157" s="279"/>
      <c r="BV157" s="279"/>
      <c r="BW157" s="279"/>
      <c r="BX157" s="279"/>
      <c r="BY157" s="279"/>
      <c r="BZ157" s="279"/>
      <c r="CA157" s="279"/>
      <c r="CB157" s="279"/>
      <c r="CC157" s="279"/>
      <c r="CD157" s="279"/>
      <c r="CE157" s="279"/>
    </row>
    <row r="158" spans="1:83">
      <c r="A158" s="278"/>
      <c r="B158" s="278"/>
      <c r="C158" s="279"/>
      <c r="D158" s="279"/>
      <c r="E158" s="279"/>
      <c r="F158" s="279"/>
      <c r="G158" s="279"/>
      <c r="H158" s="279"/>
      <c r="I158" s="279"/>
      <c r="J158" s="279"/>
      <c r="K158" s="279"/>
      <c r="L158" s="279"/>
      <c r="M158" s="279"/>
      <c r="N158" s="280"/>
      <c r="O158" s="279"/>
      <c r="P158" s="280"/>
      <c r="Q158" s="279"/>
      <c r="R158" s="279"/>
      <c r="S158" s="279"/>
      <c r="T158" s="279"/>
      <c r="U158" s="280"/>
      <c r="V158" s="279"/>
      <c r="W158" s="279"/>
      <c r="X158" s="279"/>
      <c r="Y158" s="279"/>
      <c r="Z158" s="280"/>
      <c r="AA158" s="279"/>
      <c r="AB158" s="279"/>
      <c r="AC158" s="279"/>
      <c r="AD158" s="279"/>
      <c r="AE158" s="279"/>
      <c r="AF158" s="279"/>
      <c r="AG158" s="279"/>
      <c r="AH158" s="279"/>
      <c r="AI158" s="279"/>
      <c r="AJ158" s="279"/>
      <c r="AK158" s="280"/>
      <c r="AL158" s="279"/>
      <c r="AM158" s="279"/>
      <c r="AN158" s="280"/>
      <c r="AO158" s="279"/>
      <c r="AP158" s="280"/>
      <c r="AQ158" s="279"/>
      <c r="AR158" s="285"/>
      <c r="AS158" s="279"/>
      <c r="AT158" s="279"/>
      <c r="AU158" s="279"/>
      <c r="AV158" s="279"/>
      <c r="AW158" s="284"/>
      <c r="AX158" s="285"/>
      <c r="AY158" s="285"/>
      <c r="AZ158" s="285"/>
      <c r="BA158" s="285"/>
      <c r="BB158" s="285"/>
      <c r="BC158" s="285"/>
      <c r="BD158" s="285"/>
      <c r="BE158" s="280"/>
      <c r="BF158" s="284"/>
      <c r="BG158" s="285"/>
      <c r="BH158" s="285"/>
      <c r="BI158" s="285"/>
      <c r="BJ158" s="285"/>
      <c r="BK158" s="285"/>
      <c r="BL158" s="285"/>
      <c r="BM158" s="285"/>
      <c r="BN158" s="280"/>
      <c r="BO158" s="279"/>
      <c r="BP158" s="279"/>
      <c r="BQ158" s="279"/>
      <c r="BR158" s="278"/>
      <c r="BS158" s="279"/>
      <c r="BT158" s="279"/>
      <c r="BU158" s="279"/>
      <c r="BV158" s="279"/>
      <c r="BW158" s="279"/>
      <c r="BX158" s="279"/>
      <c r="BY158" s="279"/>
      <c r="BZ158" s="279"/>
      <c r="CA158" s="279"/>
      <c r="CB158" s="279"/>
      <c r="CC158" s="279"/>
      <c r="CD158" s="279"/>
      <c r="CE158" s="279"/>
    </row>
    <row r="159" spans="1:83">
      <c r="A159" s="278"/>
      <c r="B159" s="278"/>
      <c r="C159" s="279"/>
      <c r="D159" s="279"/>
      <c r="E159" s="279"/>
      <c r="F159" s="279"/>
      <c r="G159" s="279"/>
      <c r="H159" s="279"/>
      <c r="I159" s="279"/>
      <c r="J159" s="279"/>
      <c r="K159" s="279"/>
      <c r="L159" s="279"/>
      <c r="M159" s="279"/>
      <c r="N159" s="280"/>
      <c r="O159" s="279"/>
      <c r="P159" s="280"/>
      <c r="Q159" s="279"/>
      <c r="R159" s="279"/>
      <c r="S159" s="279"/>
      <c r="T159" s="279"/>
      <c r="U159" s="280"/>
      <c r="V159" s="279"/>
      <c r="W159" s="279"/>
      <c r="X159" s="279"/>
      <c r="Y159" s="279"/>
      <c r="Z159" s="280"/>
      <c r="AA159" s="279"/>
      <c r="AB159" s="279"/>
      <c r="AC159" s="279"/>
      <c r="AD159" s="279"/>
      <c r="AE159" s="279"/>
      <c r="AF159" s="279"/>
      <c r="AG159" s="279"/>
      <c r="AH159" s="279"/>
      <c r="AI159" s="279"/>
      <c r="AJ159" s="279"/>
      <c r="AK159" s="280"/>
      <c r="AL159" s="279"/>
      <c r="AM159" s="279"/>
      <c r="AN159" s="280"/>
      <c r="AO159" s="279"/>
      <c r="AP159" s="280"/>
      <c r="AQ159" s="279"/>
      <c r="AR159" s="285"/>
      <c r="AS159" s="279"/>
      <c r="AT159" s="279"/>
      <c r="AU159" s="279"/>
      <c r="AV159" s="279"/>
      <c r="AW159" s="284"/>
      <c r="AX159" s="285"/>
      <c r="AY159" s="285"/>
      <c r="AZ159" s="285"/>
      <c r="BA159" s="285"/>
      <c r="BB159" s="285"/>
      <c r="BC159" s="285"/>
      <c r="BD159" s="285"/>
      <c r="BE159" s="280"/>
      <c r="BF159" s="284"/>
      <c r="BG159" s="285"/>
      <c r="BH159" s="285"/>
      <c r="BI159" s="285"/>
      <c r="BJ159" s="285"/>
      <c r="BK159" s="285"/>
      <c r="BL159" s="285"/>
      <c r="BM159" s="285"/>
      <c r="BN159" s="280"/>
      <c r="BO159" s="279"/>
      <c r="BP159" s="279"/>
      <c r="BQ159" s="279"/>
      <c r="BR159" s="278"/>
      <c r="BS159" s="279"/>
      <c r="BT159" s="279"/>
      <c r="BU159" s="279"/>
      <c r="BV159" s="279"/>
      <c r="BW159" s="279"/>
      <c r="BX159" s="279"/>
      <c r="BY159" s="279"/>
      <c r="BZ159" s="279"/>
      <c r="CA159" s="279"/>
      <c r="CB159" s="279"/>
      <c r="CC159" s="279"/>
      <c r="CD159" s="279"/>
      <c r="CE159" s="279"/>
    </row>
    <row r="160" spans="1:83">
      <c r="A160" s="278"/>
      <c r="B160" s="278"/>
      <c r="C160" s="279"/>
      <c r="D160" s="279"/>
      <c r="E160" s="279"/>
      <c r="F160" s="279"/>
      <c r="G160" s="279"/>
      <c r="H160" s="279"/>
      <c r="I160" s="279"/>
      <c r="J160" s="279"/>
      <c r="K160" s="279"/>
      <c r="L160" s="279"/>
      <c r="M160" s="279"/>
      <c r="N160" s="280"/>
      <c r="O160" s="279"/>
      <c r="P160" s="280"/>
      <c r="Q160" s="279"/>
      <c r="R160" s="279"/>
      <c r="S160" s="279"/>
      <c r="T160" s="279"/>
      <c r="U160" s="280"/>
      <c r="V160" s="279"/>
      <c r="W160" s="279"/>
      <c r="X160" s="279"/>
      <c r="Y160" s="279"/>
      <c r="Z160" s="280"/>
      <c r="AA160" s="279"/>
      <c r="AB160" s="279"/>
      <c r="AC160" s="279"/>
      <c r="AD160" s="279"/>
      <c r="AE160" s="279"/>
      <c r="AF160" s="279"/>
      <c r="AG160" s="279"/>
      <c r="AH160" s="279"/>
      <c r="AI160" s="279"/>
      <c r="AJ160" s="279"/>
      <c r="AK160" s="280"/>
      <c r="AL160" s="279"/>
      <c r="AM160" s="279"/>
      <c r="AN160" s="280"/>
      <c r="AO160" s="279"/>
      <c r="AP160" s="280"/>
      <c r="AQ160" s="279"/>
      <c r="AR160" s="285"/>
      <c r="AS160" s="279"/>
      <c r="AT160" s="279"/>
      <c r="AU160" s="279"/>
      <c r="AV160" s="279"/>
      <c r="AW160" s="284"/>
      <c r="AX160" s="285"/>
      <c r="AY160" s="285"/>
      <c r="AZ160" s="285"/>
      <c r="BA160" s="285"/>
      <c r="BB160" s="285"/>
      <c r="BC160" s="285"/>
      <c r="BD160" s="285"/>
      <c r="BE160" s="280"/>
      <c r="BF160" s="284"/>
      <c r="BG160" s="285"/>
      <c r="BH160" s="285"/>
      <c r="BI160" s="285"/>
      <c r="BJ160" s="285"/>
      <c r="BK160" s="285"/>
      <c r="BL160" s="285"/>
      <c r="BM160" s="285"/>
      <c r="BN160" s="280"/>
      <c r="BO160" s="279"/>
      <c r="BP160" s="279"/>
      <c r="BQ160" s="279"/>
      <c r="BR160" s="278"/>
      <c r="BS160" s="279"/>
      <c r="BT160" s="279"/>
      <c r="BU160" s="279"/>
      <c r="BV160" s="279"/>
      <c r="BW160" s="279"/>
      <c r="BX160" s="279"/>
      <c r="BY160" s="279"/>
      <c r="BZ160" s="279"/>
      <c r="CA160" s="279"/>
      <c r="CB160" s="279"/>
      <c r="CC160" s="279"/>
      <c r="CD160" s="279"/>
      <c r="CE160" s="279"/>
    </row>
    <row r="161" spans="1:83">
      <c r="A161" s="278"/>
      <c r="B161" s="278"/>
      <c r="C161" s="279"/>
      <c r="D161" s="279"/>
      <c r="E161" s="279"/>
      <c r="F161" s="279"/>
      <c r="G161" s="279"/>
      <c r="H161" s="279"/>
      <c r="I161" s="279"/>
      <c r="J161" s="279"/>
      <c r="K161" s="279"/>
      <c r="L161" s="279"/>
      <c r="M161" s="279"/>
      <c r="N161" s="280"/>
      <c r="O161" s="279"/>
      <c r="P161" s="280"/>
      <c r="Q161" s="279"/>
      <c r="R161" s="279"/>
      <c r="S161" s="279"/>
      <c r="T161" s="279"/>
      <c r="U161" s="280"/>
      <c r="V161" s="279"/>
      <c r="W161" s="279"/>
      <c r="X161" s="279"/>
      <c r="Y161" s="279"/>
      <c r="Z161" s="280"/>
      <c r="AA161" s="279"/>
      <c r="AB161" s="279"/>
      <c r="AC161" s="279"/>
      <c r="AD161" s="279"/>
      <c r="AE161" s="279"/>
      <c r="AF161" s="279"/>
      <c r="AG161" s="279"/>
      <c r="AH161" s="279"/>
      <c r="AI161" s="279"/>
      <c r="AJ161" s="279"/>
      <c r="AK161" s="280"/>
      <c r="AL161" s="279"/>
      <c r="AM161" s="279"/>
      <c r="AN161" s="280"/>
      <c r="AO161" s="279"/>
      <c r="AP161" s="280"/>
      <c r="AQ161" s="279"/>
      <c r="AR161" s="285"/>
      <c r="AS161" s="279"/>
      <c r="AT161" s="279"/>
      <c r="AU161" s="279"/>
      <c r="AV161" s="279"/>
      <c r="AW161" s="284"/>
      <c r="AX161" s="285"/>
      <c r="AY161" s="285"/>
      <c r="AZ161" s="285"/>
      <c r="BA161" s="285"/>
      <c r="BB161" s="285"/>
      <c r="BC161" s="285"/>
      <c r="BD161" s="285"/>
      <c r="BE161" s="280"/>
      <c r="BF161" s="284"/>
      <c r="BG161" s="285"/>
      <c r="BH161" s="285"/>
      <c r="BI161" s="285"/>
      <c r="BJ161" s="285"/>
      <c r="BK161" s="285"/>
      <c r="BL161" s="285"/>
      <c r="BM161" s="285"/>
      <c r="BN161" s="280"/>
      <c r="BO161" s="279"/>
      <c r="BP161" s="279"/>
      <c r="BQ161" s="279"/>
      <c r="BR161" s="278"/>
      <c r="BS161" s="279"/>
      <c r="BT161" s="279"/>
      <c r="BU161" s="279"/>
      <c r="BV161" s="279"/>
      <c r="BW161" s="279"/>
      <c r="BX161" s="279"/>
      <c r="BY161" s="279"/>
      <c r="BZ161" s="279"/>
      <c r="CA161" s="279"/>
      <c r="CB161" s="279"/>
      <c r="CC161" s="279"/>
      <c r="CD161" s="279"/>
      <c r="CE161" s="279"/>
    </row>
    <row r="162" spans="1:83">
      <c r="A162" s="278"/>
      <c r="B162" s="278"/>
      <c r="C162" s="279"/>
      <c r="D162" s="279"/>
      <c r="E162" s="279"/>
      <c r="F162" s="279"/>
      <c r="G162" s="279"/>
      <c r="H162" s="279"/>
      <c r="I162" s="279"/>
      <c r="J162" s="279"/>
      <c r="K162" s="279"/>
      <c r="L162" s="279"/>
      <c r="M162" s="279"/>
      <c r="N162" s="280"/>
      <c r="O162" s="279"/>
      <c r="P162" s="280"/>
      <c r="Q162" s="279"/>
      <c r="R162" s="279"/>
      <c r="S162" s="279"/>
      <c r="T162" s="279"/>
      <c r="U162" s="280"/>
      <c r="V162" s="279"/>
      <c r="W162" s="279"/>
      <c r="X162" s="279"/>
      <c r="Y162" s="279"/>
      <c r="Z162" s="280"/>
      <c r="AA162" s="279"/>
      <c r="AB162" s="279"/>
      <c r="AC162" s="279"/>
      <c r="AD162" s="279"/>
      <c r="AE162" s="279"/>
      <c r="AF162" s="279"/>
      <c r="AG162" s="279"/>
      <c r="AH162" s="279"/>
      <c r="AI162" s="279"/>
      <c r="AJ162" s="279"/>
      <c r="AK162" s="280"/>
      <c r="AL162" s="279"/>
      <c r="AM162" s="279"/>
      <c r="AN162" s="280"/>
      <c r="AO162" s="279"/>
      <c r="AP162" s="280"/>
      <c r="AQ162" s="279"/>
      <c r="AR162" s="285"/>
      <c r="AS162" s="279"/>
      <c r="AT162" s="279"/>
      <c r="AU162" s="279"/>
      <c r="AV162" s="279"/>
      <c r="AW162" s="284"/>
      <c r="AX162" s="285"/>
      <c r="AY162" s="285"/>
      <c r="AZ162" s="285"/>
      <c r="BA162" s="285"/>
      <c r="BB162" s="285"/>
      <c r="BC162" s="285"/>
      <c r="BD162" s="285"/>
      <c r="BE162" s="280"/>
      <c r="BF162" s="284"/>
      <c r="BG162" s="285"/>
      <c r="BH162" s="285"/>
      <c r="BI162" s="285"/>
      <c r="BJ162" s="285"/>
      <c r="BK162" s="285"/>
      <c r="BL162" s="285"/>
      <c r="BM162" s="285"/>
      <c r="BN162" s="280"/>
      <c r="BO162" s="279"/>
      <c r="BP162" s="279"/>
      <c r="BQ162" s="279"/>
      <c r="BR162" s="278"/>
      <c r="BS162" s="279"/>
      <c r="BT162" s="279"/>
      <c r="BU162" s="279"/>
      <c r="BV162" s="279"/>
      <c r="BW162" s="279"/>
      <c r="BX162" s="279"/>
      <c r="BY162" s="279"/>
      <c r="BZ162" s="279"/>
      <c r="CA162" s="279"/>
      <c r="CB162" s="279"/>
      <c r="CC162" s="279"/>
      <c r="CD162" s="279"/>
      <c r="CE162" s="279"/>
    </row>
    <row r="163" spans="1:83">
      <c r="A163" s="278"/>
      <c r="B163" s="278"/>
      <c r="C163" s="279"/>
      <c r="D163" s="279"/>
      <c r="E163" s="279"/>
      <c r="F163" s="279"/>
      <c r="G163" s="279"/>
      <c r="H163" s="279"/>
      <c r="I163" s="279"/>
      <c r="J163" s="279"/>
      <c r="K163" s="279"/>
      <c r="L163" s="279"/>
      <c r="M163" s="279"/>
      <c r="N163" s="280"/>
      <c r="O163" s="279"/>
      <c r="P163" s="280"/>
      <c r="Q163" s="279"/>
      <c r="R163" s="279"/>
      <c r="S163" s="279"/>
      <c r="T163" s="279"/>
      <c r="U163" s="280"/>
      <c r="V163" s="279"/>
      <c r="W163" s="279"/>
      <c r="X163" s="279"/>
      <c r="Y163" s="279"/>
      <c r="Z163" s="280"/>
      <c r="AA163" s="279"/>
      <c r="AB163" s="279"/>
      <c r="AC163" s="279"/>
      <c r="AD163" s="279"/>
      <c r="AE163" s="279"/>
      <c r="AF163" s="279"/>
      <c r="AG163" s="279"/>
      <c r="AH163" s="279"/>
      <c r="AI163" s="279"/>
      <c r="AJ163" s="279"/>
      <c r="AK163" s="280"/>
      <c r="AL163" s="279"/>
      <c r="AM163" s="279"/>
      <c r="AN163" s="280"/>
      <c r="AO163" s="279"/>
      <c r="AP163" s="280"/>
      <c r="AQ163" s="279"/>
      <c r="AR163" s="285"/>
      <c r="AS163" s="279"/>
      <c r="AT163" s="279"/>
      <c r="AU163" s="279"/>
      <c r="AV163" s="279"/>
      <c r="AW163" s="284"/>
      <c r="AX163" s="285"/>
      <c r="AY163" s="285"/>
      <c r="AZ163" s="285"/>
      <c r="BA163" s="285"/>
      <c r="BB163" s="285"/>
      <c r="BC163" s="285"/>
      <c r="BD163" s="285"/>
      <c r="BE163" s="280"/>
      <c r="BF163" s="284"/>
      <c r="BG163" s="285"/>
      <c r="BH163" s="285"/>
      <c r="BI163" s="285"/>
      <c r="BJ163" s="285"/>
      <c r="BK163" s="285"/>
      <c r="BL163" s="285"/>
      <c r="BM163" s="285"/>
      <c r="BN163" s="280"/>
      <c r="BO163" s="279"/>
      <c r="BP163" s="279"/>
      <c r="BQ163" s="279"/>
      <c r="BR163" s="278"/>
      <c r="BS163" s="279"/>
      <c r="BT163" s="279"/>
      <c r="BU163" s="279"/>
      <c r="BV163" s="279"/>
      <c r="BW163" s="279"/>
      <c r="BX163" s="279"/>
      <c r="BY163" s="279"/>
      <c r="BZ163" s="279"/>
      <c r="CA163" s="279"/>
      <c r="CB163" s="279"/>
      <c r="CC163" s="279"/>
      <c r="CD163" s="279"/>
      <c r="CE163" s="279"/>
    </row>
    <row r="164" spans="1:83">
      <c r="A164" s="278"/>
      <c r="B164" s="278"/>
      <c r="C164" s="279"/>
      <c r="D164" s="279"/>
      <c r="E164" s="279"/>
      <c r="F164" s="279"/>
      <c r="G164" s="279"/>
      <c r="H164" s="279"/>
      <c r="I164" s="279"/>
      <c r="J164" s="279"/>
      <c r="K164" s="279"/>
      <c r="L164" s="279"/>
      <c r="M164" s="279"/>
      <c r="N164" s="280"/>
      <c r="O164" s="279"/>
      <c r="P164" s="280"/>
      <c r="Q164" s="279"/>
      <c r="R164" s="279"/>
      <c r="S164" s="279"/>
      <c r="T164" s="279"/>
      <c r="U164" s="280"/>
      <c r="V164" s="279"/>
      <c r="W164" s="279"/>
      <c r="X164" s="279"/>
      <c r="Y164" s="279"/>
      <c r="Z164" s="280"/>
      <c r="AA164" s="279"/>
      <c r="AB164" s="279"/>
      <c r="AC164" s="279"/>
      <c r="AD164" s="279"/>
      <c r="AE164" s="279"/>
      <c r="AF164" s="279"/>
      <c r="AG164" s="279"/>
      <c r="AH164" s="279"/>
      <c r="AI164" s="279"/>
      <c r="AJ164" s="279"/>
      <c r="AK164" s="280"/>
      <c r="AL164" s="279"/>
      <c r="AM164" s="279"/>
      <c r="AN164" s="280"/>
      <c r="AO164" s="279"/>
      <c r="AP164" s="280"/>
      <c r="AQ164" s="279"/>
      <c r="AR164" s="285"/>
      <c r="AS164" s="279"/>
      <c r="AT164" s="279"/>
      <c r="AU164" s="279"/>
      <c r="AV164" s="279"/>
      <c r="AW164" s="284"/>
      <c r="AX164" s="285"/>
      <c r="AY164" s="285"/>
      <c r="AZ164" s="285"/>
      <c r="BA164" s="285"/>
      <c r="BB164" s="285"/>
      <c r="BC164" s="285"/>
      <c r="BD164" s="285"/>
      <c r="BE164" s="280"/>
      <c r="BF164" s="284"/>
      <c r="BG164" s="285"/>
      <c r="BH164" s="285"/>
      <c r="BI164" s="285"/>
      <c r="BJ164" s="285"/>
      <c r="BK164" s="285"/>
      <c r="BL164" s="285"/>
      <c r="BM164" s="285"/>
      <c r="BN164" s="280"/>
      <c r="BO164" s="279"/>
      <c r="BP164" s="279"/>
      <c r="BQ164" s="279"/>
      <c r="BR164" s="278"/>
      <c r="BS164" s="279"/>
      <c r="BT164" s="279"/>
      <c r="BU164" s="279"/>
      <c r="BV164" s="279"/>
      <c r="BW164" s="279"/>
      <c r="BX164" s="279"/>
      <c r="BY164" s="279"/>
      <c r="BZ164" s="279"/>
      <c r="CA164" s="279"/>
      <c r="CB164" s="279"/>
      <c r="CC164" s="279"/>
      <c r="CD164" s="279"/>
      <c r="CE164" s="279"/>
    </row>
    <row r="165" spans="1:83">
      <c r="A165" s="278"/>
      <c r="B165" s="278"/>
      <c r="C165" s="279"/>
      <c r="D165" s="279"/>
      <c r="E165" s="279"/>
      <c r="F165" s="279"/>
      <c r="G165" s="279"/>
      <c r="H165" s="279"/>
      <c r="I165" s="279"/>
      <c r="J165" s="279"/>
      <c r="K165" s="279"/>
      <c r="L165" s="279"/>
      <c r="M165" s="279"/>
      <c r="N165" s="280"/>
      <c r="O165" s="279"/>
      <c r="P165" s="280"/>
      <c r="Q165" s="279"/>
      <c r="R165" s="279"/>
      <c r="S165" s="279"/>
      <c r="T165" s="279"/>
      <c r="U165" s="280"/>
      <c r="V165" s="279"/>
      <c r="W165" s="279"/>
      <c r="X165" s="279"/>
      <c r="Y165" s="279"/>
      <c r="Z165" s="280"/>
      <c r="AA165" s="279"/>
      <c r="AB165" s="279"/>
      <c r="AC165" s="279"/>
      <c r="AD165" s="279"/>
      <c r="AE165" s="279"/>
      <c r="AF165" s="279"/>
      <c r="AG165" s="279"/>
      <c r="AH165" s="279"/>
      <c r="AI165" s="279"/>
      <c r="AJ165" s="279"/>
      <c r="AK165" s="280"/>
      <c r="AL165" s="279"/>
      <c r="AM165" s="279"/>
      <c r="AN165" s="280"/>
      <c r="AO165" s="279"/>
      <c r="AP165" s="280"/>
      <c r="AQ165" s="279"/>
      <c r="AR165" s="285"/>
      <c r="AS165" s="279"/>
      <c r="AT165" s="279"/>
      <c r="AU165" s="279"/>
      <c r="AV165" s="279"/>
      <c r="AW165" s="284"/>
      <c r="AX165" s="285"/>
      <c r="AY165" s="285"/>
      <c r="AZ165" s="285"/>
      <c r="BA165" s="285"/>
      <c r="BB165" s="285"/>
      <c r="BC165" s="285"/>
      <c r="BD165" s="285"/>
      <c r="BE165" s="280"/>
      <c r="BF165" s="284"/>
      <c r="BG165" s="285"/>
      <c r="BH165" s="285"/>
      <c r="BI165" s="285"/>
      <c r="BJ165" s="285"/>
      <c r="BK165" s="285"/>
      <c r="BL165" s="285"/>
      <c r="BM165" s="285"/>
      <c r="BN165" s="280"/>
      <c r="BO165" s="279"/>
      <c r="BP165" s="279"/>
      <c r="BQ165" s="279"/>
      <c r="BR165" s="278"/>
      <c r="BS165" s="279"/>
      <c r="BT165" s="279"/>
      <c r="BU165" s="279"/>
      <c r="BV165" s="279"/>
      <c r="BW165" s="279"/>
      <c r="BX165" s="279"/>
      <c r="BY165" s="279"/>
      <c r="BZ165" s="279"/>
      <c r="CA165" s="279"/>
      <c r="CB165" s="279"/>
      <c r="CC165" s="279"/>
      <c r="CD165" s="279"/>
      <c r="CE165" s="279"/>
    </row>
    <row r="166" spans="1:83">
      <c r="A166" s="278"/>
      <c r="B166" s="278"/>
      <c r="C166" s="279"/>
      <c r="D166" s="279"/>
      <c r="E166" s="279"/>
      <c r="F166" s="279"/>
      <c r="G166" s="279"/>
      <c r="H166" s="279"/>
      <c r="I166" s="279"/>
      <c r="J166" s="279"/>
      <c r="K166" s="279"/>
      <c r="L166" s="279"/>
      <c r="M166" s="279"/>
      <c r="N166" s="280"/>
      <c r="O166" s="279"/>
      <c r="P166" s="280"/>
      <c r="Q166" s="279"/>
      <c r="R166" s="279"/>
      <c r="S166" s="279"/>
      <c r="T166" s="279"/>
      <c r="U166" s="280"/>
      <c r="V166" s="279"/>
      <c r="W166" s="279"/>
      <c r="X166" s="279"/>
      <c r="Y166" s="279"/>
      <c r="Z166" s="280"/>
      <c r="AA166" s="279"/>
      <c r="AB166" s="279"/>
      <c r="AC166" s="279"/>
      <c r="AD166" s="279"/>
      <c r="AE166" s="279"/>
      <c r="AF166" s="279"/>
      <c r="AG166" s="279"/>
      <c r="AH166" s="279"/>
      <c r="AI166" s="279"/>
      <c r="AJ166" s="279"/>
      <c r="AK166" s="280"/>
      <c r="AL166" s="279"/>
      <c r="AM166" s="279"/>
      <c r="AN166" s="280"/>
      <c r="AO166" s="279"/>
      <c r="AP166" s="280"/>
      <c r="AQ166" s="279"/>
      <c r="AR166" s="285"/>
      <c r="AS166" s="279"/>
      <c r="AT166" s="279"/>
      <c r="AU166" s="279"/>
      <c r="AV166" s="279"/>
      <c r="AW166" s="284"/>
      <c r="AX166" s="285"/>
      <c r="AY166" s="285"/>
      <c r="AZ166" s="285"/>
      <c r="BA166" s="285"/>
      <c r="BB166" s="285"/>
      <c r="BC166" s="285"/>
      <c r="BD166" s="285"/>
      <c r="BE166" s="280"/>
      <c r="BF166" s="284"/>
      <c r="BG166" s="285"/>
      <c r="BH166" s="285"/>
      <c r="BI166" s="285"/>
      <c r="BJ166" s="285"/>
      <c r="BK166" s="285"/>
      <c r="BL166" s="285"/>
      <c r="BM166" s="285"/>
      <c r="BN166" s="280"/>
      <c r="BO166" s="279"/>
      <c r="BP166" s="279"/>
      <c r="BQ166" s="279"/>
      <c r="BR166" s="278"/>
      <c r="BS166" s="279"/>
      <c r="BT166" s="279"/>
      <c r="BU166" s="279"/>
      <c r="BV166" s="279"/>
      <c r="BW166" s="279"/>
      <c r="BX166" s="279"/>
      <c r="BY166" s="279"/>
      <c r="BZ166" s="279"/>
      <c r="CA166" s="279"/>
      <c r="CB166" s="279"/>
      <c r="CC166" s="279"/>
      <c r="CD166" s="279"/>
      <c r="CE166" s="279"/>
    </row>
    <row r="167" spans="1:83">
      <c r="A167" s="278"/>
      <c r="B167" s="278"/>
      <c r="C167" s="279"/>
      <c r="D167" s="279"/>
      <c r="E167" s="279"/>
      <c r="F167" s="279"/>
      <c r="G167" s="279"/>
      <c r="H167" s="279"/>
      <c r="I167" s="279"/>
      <c r="J167" s="279"/>
      <c r="K167" s="279"/>
      <c r="L167" s="279"/>
      <c r="M167" s="279"/>
      <c r="N167" s="280"/>
      <c r="O167" s="279"/>
      <c r="P167" s="280"/>
      <c r="Q167" s="279"/>
      <c r="R167" s="279"/>
      <c r="S167" s="279"/>
      <c r="T167" s="279"/>
      <c r="U167" s="280"/>
      <c r="V167" s="279"/>
      <c r="W167" s="279"/>
      <c r="X167" s="279"/>
      <c r="Y167" s="279"/>
      <c r="Z167" s="280"/>
      <c r="AA167" s="279"/>
      <c r="AB167" s="279"/>
      <c r="AC167" s="279"/>
      <c r="AD167" s="279"/>
      <c r="AE167" s="279"/>
      <c r="AF167" s="279"/>
      <c r="AG167" s="279"/>
      <c r="AH167" s="279"/>
      <c r="AI167" s="279"/>
      <c r="AJ167" s="279"/>
      <c r="AK167" s="280"/>
      <c r="AL167" s="279"/>
      <c r="AM167" s="279"/>
      <c r="AN167" s="280"/>
      <c r="AO167" s="279"/>
      <c r="AP167" s="280"/>
      <c r="AQ167" s="279"/>
      <c r="AR167" s="285"/>
      <c r="AS167" s="279"/>
      <c r="AT167" s="279"/>
      <c r="AU167" s="279"/>
      <c r="AV167" s="279"/>
      <c r="AW167" s="284"/>
      <c r="AX167" s="285"/>
      <c r="AY167" s="285"/>
      <c r="AZ167" s="285"/>
      <c r="BA167" s="285"/>
      <c r="BB167" s="285"/>
      <c r="BC167" s="285"/>
      <c r="BD167" s="285"/>
      <c r="BE167" s="280"/>
      <c r="BF167" s="284"/>
      <c r="BG167" s="285"/>
      <c r="BH167" s="285"/>
      <c r="BI167" s="285"/>
      <c r="BJ167" s="285"/>
      <c r="BK167" s="285"/>
      <c r="BL167" s="285"/>
      <c r="BM167" s="285"/>
      <c r="BN167" s="280"/>
      <c r="BO167" s="279"/>
      <c r="BP167" s="279"/>
      <c r="BQ167" s="279"/>
      <c r="BR167" s="278"/>
      <c r="BS167" s="279"/>
      <c r="BT167" s="279"/>
      <c r="BU167" s="279"/>
      <c r="BV167" s="279"/>
      <c r="BW167" s="279"/>
      <c r="BX167" s="279"/>
      <c r="BY167" s="279"/>
      <c r="BZ167" s="279"/>
      <c r="CA167" s="279"/>
      <c r="CB167" s="279"/>
      <c r="CC167" s="279"/>
      <c r="CD167" s="279"/>
      <c r="CE167" s="279"/>
    </row>
    <row r="168" spans="1:83">
      <c r="A168" s="278"/>
      <c r="B168" s="278"/>
      <c r="C168" s="279"/>
      <c r="D168" s="279"/>
      <c r="E168" s="279"/>
      <c r="F168" s="279"/>
      <c r="G168" s="279"/>
      <c r="H168" s="279"/>
      <c r="I168" s="279"/>
      <c r="J168" s="279"/>
      <c r="K168" s="279"/>
      <c r="L168" s="279"/>
      <c r="M168" s="279"/>
      <c r="N168" s="280"/>
      <c r="O168" s="279"/>
      <c r="P168" s="280"/>
      <c r="Q168" s="279"/>
      <c r="R168" s="279"/>
      <c r="S168" s="279"/>
      <c r="T168" s="279"/>
      <c r="U168" s="280"/>
      <c r="V168" s="279"/>
      <c r="W168" s="279"/>
      <c r="X168" s="279"/>
      <c r="Y168" s="279"/>
      <c r="Z168" s="280"/>
      <c r="AA168" s="279"/>
      <c r="AB168" s="279"/>
      <c r="AC168" s="279"/>
      <c r="AD168" s="279"/>
      <c r="AE168" s="279"/>
      <c r="AF168" s="279"/>
      <c r="AG168" s="279"/>
      <c r="AH168" s="279"/>
      <c r="AI168" s="279"/>
      <c r="AJ168" s="279"/>
      <c r="AK168" s="280"/>
      <c r="AL168" s="279"/>
      <c r="AM168" s="279"/>
      <c r="AN168" s="280"/>
      <c r="AO168" s="279"/>
      <c r="AP168" s="280"/>
      <c r="AQ168" s="279"/>
      <c r="AR168" s="285"/>
      <c r="AS168" s="279"/>
      <c r="AT168" s="279"/>
      <c r="AU168" s="279"/>
      <c r="AV168" s="279"/>
      <c r="AW168" s="284"/>
      <c r="AX168" s="285"/>
      <c r="AY168" s="285"/>
      <c r="AZ168" s="285"/>
      <c r="BA168" s="285"/>
      <c r="BB168" s="285"/>
      <c r="BC168" s="285"/>
      <c r="BD168" s="285"/>
      <c r="BE168" s="280"/>
      <c r="BF168" s="284"/>
      <c r="BG168" s="285"/>
      <c r="BH168" s="285"/>
      <c r="BI168" s="285"/>
      <c r="BJ168" s="285"/>
      <c r="BK168" s="285"/>
      <c r="BL168" s="285"/>
      <c r="BM168" s="285"/>
      <c r="BN168" s="280"/>
      <c r="BO168" s="279"/>
      <c r="BP168" s="279"/>
      <c r="BQ168" s="279"/>
      <c r="BR168" s="278"/>
      <c r="BS168" s="279"/>
      <c r="BT168" s="279"/>
      <c r="BU168" s="279"/>
      <c r="BV168" s="279"/>
      <c r="BW168" s="279"/>
      <c r="BX168" s="279"/>
      <c r="BY168" s="279"/>
      <c r="BZ168" s="279"/>
      <c r="CA168" s="279"/>
      <c r="CB168" s="279"/>
      <c r="CC168" s="279"/>
      <c r="CD168" s="279"/>
      <c r="CE168" s="279"/>
    </row>
    <row r="169" spans="1:83">
      <c r="A169" s="278"/>
      <c r="B169" s="278"/>
      <c r="C169" s="279"/>
      <c r="D169" s="279"/>
      <c r="E169" s="279"/>
      <c r="F169" s="279"/>
      <c r="G169" s="279"/>
      <c r="H169" s="279"/>
      <c r="I169" s="279"/>
      <c r="J169" s="279"/>
      <c r="K169" s="279"/>
      <c r="L169" s="279"/>
      <c r="M169" s="279"/>
      <c r="N169" s="280"/>
      <c r="O169" s="279"/>
      <c r="P169" s="280"/>
      <c r="Q169" s="279"/>
      <c r="R169" s="279"/>
      <c r="S169" s="279"/>
      <c r="T169" s="279"/>
      <c r="U169" s="280"/>
      <c r="V169" s="279"/>
      <c r="W169" s="279"/>
      <c r="X169" s="279"/>
      <c r="Y169" s="279"/>
      <c r="Z169" s="280"/>
      <c r="AA169" s="279"/>
      <c r="AB169" s="279"/>
      <c r="AC169" s="279"/>
      <c r="AD169" s="279"/>
      <c r="AE169" s="279"/>
      <c r="AF169" s="279"/>
      <c r="AG169" s="279"/>
      <c r="AH169" s="279"/>
      <c r="AI169" s="279"/>
      <c r="AJ169" s="279"/>
      <c r="AK169" s="280"/>
      <c r="AL169" s="279"/>
      <c r="AM169" s="279"/>
      <c r="AN169" s="280"/>
      <c r="AO169" s="279"/>
      <c r="AP169" s="280"/>
      <c r="AQ169" s="279"/>
      <c r="AR169" s="285"/>
      <c r="AS169" s="279"/>
      <c r="AT169" s="279"/>
      <c r="AU169" s="279"/>
      <c r="AV169" s="279"/>
      <c r="AW169" s="284"/>
      <c r="AX169" s="285"/>
      <c r="AY169" s="285"/>
      <c r="AZ169" s="285"/>
      <c r="BA169" s="285"/>
      <c r="BB169" s="285"/>
      <c r="BC169" s="285"/>
      <c r="BD169" s="285"/>
      <c r="BE169" s="280"/>
      <c r="BF169" s="284"/>
      <c r="BG169" s="285"/>
      <c r="BH169" s="285"/>
      <c r="BI169" s="285"/>
      <c r="BJ169" s="285"/>
      <c r="BK169" s="285"/>
      <c r="BL169" s="285"/>
      <c r="BM169" s="285"/>
      <c r="BN169" s="280"/>
      <c r="BO169" s="279"/>
      <c r="BP169" s="279"/>
      <c r="BQ169" s="279"/>
      <c r="BR169" s="278"/>
      <c r="BS169" s="279"/>
      <c r="BT169" s="279"/>
      <c r="BU169" s="279"/>
      <c r="BV169" s="279"/>
      <c r="BW169" s="279"/>
      <c r="BX169" s="279"/>
      <c r="BY169" s="279"/>
      <c r="BZ169" s="279"/>
      <c r="CA169" s="279"/>
      <c r="CB169" s="279"/>
      <c r="CC169" s="279"/>
      <c r="CD169" s="279"/>
      <c r="CE169" s="279"/>
    </row>
    <row r="170" spans="1:83">
      <c r="A170" s="278"/>
      <c r="B170" s="278"/>
      <c r="C170" s="279"/>
      <c r="D170" s="279"/>
      <c r="E170" s="279"/>
      <c r="F170" s="279"/>
      <c r="G170" s="279"/>
      <c r="H170" s="279"/>
      <c r="I170" s="279"/>
      <c r="J170" s="279"/>
      <c r="K170" s="279"/>
      <c r="L170" s="279"/>
      <c r="M170" s="279"/>
      <c r="N170" s="280"/>
      <c r="O170" s="279"/>
      <c r="P170" s="280"/>
      <c r="Q170" s="279"/>
      <c r="R170" s="279"/>
      <c r="S170" s="279"/>
      <c r="T170" s="279"/>
      <c r="U170" s="280"/>
      <c r="V170" s="279"/>
      <c r="W170" s="279"/>
      <c r="X170" s="279"/>
      <c r="Y170" s="279"/>
      <c r="Z170" s="280"/>
      <c r="AA170" s="279"/>
      <c r="AB170" s="279"/>
      <c r="AC170" s="279"/>
      <c r="AD170" s="279"/>
      <c r="AE170" s="279"/>
      <c r="AF170" s="279"/>
      <c r="AG170" s="279"/>
      <c r="AH170" s="279"/>
      <c r="AI170" s="279"/>
      <c r="AJ170" s="279"/>
      <c r="AK170" s="280"/>
      <c r="AL170" s="279"/>
      <c r="AM170" s="279"/>
      <c r="AN170" s="280"/>
      <c r="AO170" s="279"/>
      <c r="AP170" s="280"/>
      <c r="AQ170" s="279"/>
      <c r="AR170" s="285"/>
      <c r="AS170" s="279"/>
      <c r="AT170" s="279"/>
      <c r="AU170" s="279"/>
      <c r="AV170" s="279"/>
      <c r="AW170" s="284"/>
      <c r="AX170" s="285"/>
      <c r="AY170" s="285"/>
      <c r="AZ170" s="285"/>
      <c r="BA170" s="285"/>
      <c r="BB170" s="285"/>
      <c r="BC170" s="285"/>
      <c r="BD170" s="285"/>
      <c r="BE170" s="280"/>
      <c r="BF170" s="284"/>
      <c r="BG170" s="285"/>
      <c r="BH170" s="285"/>
      <c r="BI170" s="285"/>
      <c r="BJ170" s="285"/>
      <c r="BK170" s="285"/>
      <c r="BL170" s="285"/>
      <c r="BM170" s="285"/>
      <c r="BN170" s="280"/>
      <c r="BO170" s="279"/>
      <c r="BP170" s="279"/>
      <c r="BQ170" s="279"/>
      <c r="BR170" s="278"/>
      <c r="BS170" s="279"/>
      <c r="BT170" s="279"/>
      <c r="BU170" s="279"/>
      <c r="BV170" s="279"/>
      <c r="BW170" s="279"/>
      <c r="BX170" s="279"/>
      <c r="BY170" s="279"/>
      <c r="BZ170" s="279"/>
      <c r="CA170" s="279"/>
      <c r="CB170" s="279"/>
      <c r="CC170" s="279"/>
      <c r="CD170" s="279"/>
      <c r="CE170" s="279"/>
    </row>
    <row r="171" spans="1:83">
      <c r="A171" s="278"/>
      <c r="B171" s="278"/>
      <c r="C171" s="279"/>
      <c r="D171" s="279"/>
      <c r="E171" s="279"/>
      <c r="F171" s="279"/>
      <c r="G171" s="279"/>
      <c r="H171" s="279"/>
      <c r="I171" s="279"/>
      <c r="J171" s="279"/>
      <c r="K171" s="279"/>
      <c r="L171" s="279"/>
      <c r="M171" s="279"/>
      <c r="N171" s="280"/>
      <c r="O171" s="279"/>
      <c r="P171" s="280"/>
      <c r="Q171" s="279"/>
      <c r="R171" s="279"/>
      <c r="S171" s="279"/>
      <c r="T171" s="279"/>
      <c r="U171" s="280"/>
      <c r="V171" s="279"/>
      <c r="W171" s="279"/>
      <c r="X171" s="279"/>
      <c r="Y171" s="279"/>
      <c r="Z171" s="280"/>
      <c r="AA171" s="279"/>
      <c r="AB171" s="279"/>
      <c r="AC171" s="279"/>
      <c r="AD171" s="279"/>
      <c r="AE171" s="279"/>
      <c r="AF171" s="279"/>
      <c r="AG171" s="279"/>
      <c r="AH171" s="279"/>
      <c r="AI171" s="279"/>
      <c r="AJ171" s="279"/>
      <c r="AK171" s="280"/>
      <c r="AL171" s="279"/>
      <c r="AM171" s="279"/>
      <c r="AN171" s="280"/>
      <c r="AO171" s="279"/>
      <c r="AP171" s="280"/>
      <c r="AQ171" s="279"/>
      <c r="AR171" s="285"/>
      <c r="AS171" s="279"/>
      <c r="AT171" s="279"/>
      <c r="AU171" s="279"/>
      <c r="AV171" s="279"/>
      <c r="AW171" s="284"/>
      <c r="AX171" s="285"/>
      <c r="AY171" s="285"/>
      <c r="AZ171" s="285"/>
      <c r="BA171" s="285"/>
      <c r="BB171" s="285"/>
      <c r="BC171" s="285"/>
      <c r="BD171" s="285"/>
      <c r="BE171" s="280"/>
      <c r="BF171" s="284"/>
      <c r="BG171" s="285"/>
      <c r="BH171" s="285"/>
      <c r="BI171" s="285"/>
      <c r="BJ171" s="285"/>
      <c r="BK171" s="285"/>
      <c r="BL171" s="285"/>
      <c r="BM171" s="285"/>
      <c r="BN171" s="280"/>
      <c r="BO171" s="279"/>
      <c r="BP171" s="279"/>
      <c r="BQ171" s="279"/>
      <c r="BR171" s="278"/>
      <c r="BS171" s="279"/>
      <c r="BT171" s="279"/>
      <c r="BU171" s="279"/>
      <c r="BV171" s="279"/>
      <c r="BW171" s="279"/>
      <c r="BX171" s="279"/>
      <c r="BY171" s="279"/>
      <c r="BZ171" s="279"/>
      <c r="CA171" s="279"/>
      <c r="CB171" s="279"/>
      <c r="CC171" s="279"/>
      <c r="CD171" s="279"/>
      <c r="CE171" s="279"/>
    </row>
    <row r="172" spans="1:83">
      <c r="A172" s="278"/>
      <c r="B172" s="278"/>
      <c r="C172" s="279"/>
      <c r="D172" s="279"/>
      <c r="E172" s="279"/>
      <c r="F172" s="279"/>
      <c r="G172" s="279"/>
      <c r="H172" s="279"/>
      <c r="I172" s="279"/>
      <c r="J172" s="279"/>
      <c r="K172" s="279"/>
      <c r="L172" s="279"/>
      <c r="M172" s="279"/>
      <c r="N172" s="280"/>
      <c r="O172" s="279"/>
      <c r="P172" s="280"/>
      <c r="Q172" s="279"/>
      <c r="R172" s="279"/>
      <c r="S172" s="279"/>
      <c r="T172" s="279"/>
      <c r="U172" s="280"/>
      <c r="V172" s="279"/>
      <c r="W172" s="279"/>
      <c r="X172" s="279"/>
      <c r="Y172" s="279"/>
      <c r="Z172" s="280"/>
      <c r="AA172" s="279"/>
      <c r="AB172" s="279"/>
      <c r="AC172" s="279"/>
      <c r="AD172" s="279"/>
      <c r="AE172" s="279"/>
      <c r="AF172" s="279"/>
      <c r="AG172" s="279"/>
      <c r="AH172" s="279"/>
      <c r="AI172" s="279"/>
      <c r="AJ172" s="279"/>
      <c r="AK172" s="280"/>
      <c r="AL172" s="279"/>
      <c r="AM172" s="279"/>
      <c r="AN172" s="280"/>
      <c r="AO172" s="279"/>
      <c r="AP172" s="280"/>
      <c r="AQ172" s="279"/>
      <c r="AR172" s="285"/>
      <c r="AS172" s="279"/>
      <c r="AT172" s="279"/>
      <c r="AU172" s="279"/>
      <c r="AV172" s="279"/>
      <c r="AW172" s="284"/>
      <c r="AX172" s="285"/>
      <c r="AY172" s="285"/>
      <c r="AZ172" s="285"/>
      <c r="BA172" s="285"/>
      <c r="BB172" s="285"/>
      <c r="BC172" s="285"/>
      <c r="BD172" s="285"/>
      <c r="BE172" s="280"/>
      <c r="BF172" s="284"/>
      <c r="BG172" s="285"/>
      <c r="BH172" s="285"/>
      <c r="BI172" s="285"/>
      <c r="BJ172" s="285"/>
      <c r="BK172" s="285"/>
      <c r="BL172" s="285"/>
      <c r="BM172" s="285"/>
      <c r="BN172" s="280"/>
      <c r="BO172" s="279"/>
      <c r="BP172" s="279"/>
      <c r="BQ172" s="279"/>
      <c r="BR172" s="278"/>
      <c r="BS172" s="279"/>
      <c r="BT172" s="279"/>
      <c r="BU172" s="279"/>
      <c r="BV172" s="279"/>
      <c r="BW172" s="279"/>
      <c r="BX172" s="279"/>
      <c r="BY172" s="279"/>
      <c r="BZ172" s="279"/>
      <c r="CA172" s="279"/>
      <c r="CB172" s="279"/>
      <c r="CC172" s="279"/>
      <c r="CD172" s="279"/>
      <c r="CE172" s="279"/>
    </row>
    <row r="173" spans="1:83">
      <c r="A173" s="278"/>
      <c r="B173" s="278"/>
      <c r="C173" s="279"/>
      <c r="D173" s="279"/>
      <c r="E173" s="279"/>
      <c r="F173" s="279"/>
      <c r="G173" s="279"/>
      <c r="H173" s="279"/>
      <c r="I173" s="279"/>
      <c r="J173" s="279"/>
      <c r="K173" s="279"/>
      <c r="L173" s="279"/>
      <c r="M173" s="279"/>
      <c r="N173" s="280"/>
      <c r="O173" s="279"/>
      <c r="P173" s="280"/>
      <c r="Q173" s="279"/>
      <c r="R173" s="279"/>
      <c r="S173" s="279"/>
      <c r="T173" s="279"/>
      <c r="U173" s="280"/>
      <c r="V173" s="279"/>
      <c r="W173" s="279"/>
      <c r="X173" s="279"/>
      <c r="Y173" s="279"/>
      <c r="Z173" s="280"/>
      <c r="AA173" s="279"/>
      <c r="AB173" s="279"/>
      <c r="AC173" s="279"/>
      <c r="AD173" s="279"/>
      <c r="AE173" s="279"/>
      <c r="AF173" s="279"/>
      <c r="AG173" s="279"/>
      <c r="AH173" s="279"/>
      <c r="AI173" s="279"/>
      <c r="AJ173" s="279"/>
      <c r="AK173" s="280"/>
      <c r="AL173" s="279"/>
      <c r="AM173" s="279"/>
      <c r="AN173" s="280"/>
      <c r="AO173" s="279"/>
      <c r="AP173" s="280"/>
      <c r="AQ173" s="279"/>
      <c r="AR173" s="285"/>
      <c r="AS173" s="279"/>
      <c r="AT173" s="279"/>
      <c r="AU173" s="279"/>
      <c r="AV173" s="279"/>
      <c r="AW173" s="284"/>
      <c r="AX173" s="285"/>
      <c r="AY173" s="285"/>
      <c r="AZ173" s="285"/>
      <c r="BA173" s="285"/>
      <c r="BB173" s="285"/>
      <c r="BC173" s="285"/>
      <c r="BD173" s="285"/>
      <c r="BE173" s="280"/>
      <c r="BF173" s="284"/>
      <c r="BG173" s="285"/>
      <c r="BH173" s="285"/>
      <c r="BI173" s="285"/>
      <c r="BJ173" s="285"/>
      <c r="BK173" s="285"/>
      <c r="BL173" s="285"/>
      <c r="BM173" s="285"/>
      <c r="BN173" s="280"/>
      <c r="BO173" s="279"/>
      <c r="BP173" s="279"/>
      <c r="BQ173" s="279"/>
      <c r="BR173" s="278"/>
      <c r="BS173" s="279"/>
      <c r="BT173" s="279"/>
      <c r="BU173" s="279"/>
      <c r="BV173" s="279"/>
      <c r="BW173" s="279"/>
      <c r="BX173" s="279"/>
      <c r="BY173" s="279"/>
      <c r="BZ173" s="279"/>
      <c r="CA173" s="279"/>
      <c r="CB173" s="279"/>
      <c r="CC173" s="279"/>
      <c r="CD173" s="279"/>
      <c r="CE173" s="279"/>
    </row>
    <row r="174" spans="1:83">
      <c r="A174" s="278"/>
      <c r="B174" s="278"/>
      <c r="C174" s="279"/>
      <c r="D174" s="279"/>
      <c r="E174" s="279"/>
      <c r="F174" s="279"/>
      <c r="G174" s="279"/>
      <c r="H174" s="279"/>
      <c r="I174" s="279"/>
      <c r="J174" s="279"/>
      <c r="K174" s="279"/>
      <c r="L174" s="279"/>
      <c r="M174" s="279"/>
      <c r="N174" s="280"/>
      <c r="O174" s="279"/>
      <c r="P174" s="280"/>
      <c r="Q174" s="279"/>
      <c r="R174" s="279"/>
      <c r="S174" s="279"/>
      <c r="T174" s="279"/>
      <c r="U174" s="280"/>
      <c r="V174" s="279"/>
      <c r="W174" s="279"/>
      <c r="X174" s="279"/>
      <c r="Y174" s="279"/>
      <c r="Z174" s="280"/>
      <c r="AA174" s="279"/>
      <c r="AB174" s="279"/>
      <c r="AC174" s="279"/>
      <c r="AD174" s="279"/>
      <c r="AE174" s="279"/>
      <c r="AF174" s="279"/>
      <c r="AG174" s="279"/>
      <c r="AH174" s="279"/>
      <c r="AI174" s="279"/>
      <c r="AJ174" s="279"/>
      <c r="AK174" s="280"/>
      <c r="AL174" s="279"/>
      <c r="AM174" s="279"/>
      <c r="AN174" s="280"/>
      <c r="AO174" s="279"/>
      <c r="AP174" s="280"/>
      <c r="AQ174" s="279"/>
      <c r="AR174" s="285"/>
      <c r="AS174" s="279"/>
      <c r="AT174" s="279"/>
      <c r="AU174" s="279"/>
      <c r="AV174" s="279"/>
      <c r="AW174" s="284"/>
      <c r="AX174" s="285"/>
      <c r="AY174" s="285"/>
      <c r="AZ174" s="285"/>
      <c r="BA174" s="285"/>
      <c r="BB174" s="285"/>
      <c r="BC174" s="285"/>
      <c r="BD174" s="285"/>
      <c r="BE174" s="280"/>
      <c r="BF174" s="284"/>
      <c r="BG174" s="285"/>
      <c r="BH174" s="285"/>
      <c r="BI174" s="285"/>
      <c r="BJ174" s="285"/>
      <c r="BK174" s="285"/>
      <c r="BL174" s="285"/>
      <c r="BM174" s="285"/>
      <c r="BN174" s="280"/>
      <c r="BO174" s="279"/>
      <c r="BP174" s="279"/>
      <c r="BQ174" s="279"/>
      <c r="BR174" s="278"/>
      <c r="BS174" s="279"/>
      <c r="BT174" s="279"/>
      <c r="BU174" s="279"/>
      <c r="BV174" s="279"/>
      <c r="BW174" s="279"/>
      <c r="BX174" s="279"/>
      <c r="BY174" s="279"/>
      <c r="BZ174" s="279"/>
      <c r="CA174" s="279"/>
      <c r="CB174" s="279"/>
      <c r="CC174" s="279"/>
      <c r="CD174" s="279"/>
      <c r="CE174" s="279"/>
    </row>
    <row r="175" spans="1:83">
      <c r="A175" s="278"/>
      <c r="B175" s="278"/>
      <c r="C175" s="279"/>
      <c r="D175" s="279"/>
      <c r="E175" s="279"/>
      <c r="F175" s="279"/>
      <c r="G175" s="279"/>
      <c r="H175" s="279"/>
      <c r="I175" s="279"/>
      <c r="J175" s="279"/>
      <c r="K175" s="279"/>
      <c r="L175" s="279"/>
      <c r="M175" s="279"/>
      <c r="N175" s="280"/>
      <c r="O175" s="279"/>
      <c r="P175" s="280"/>
      <c r="Q175" s="279"/>
      <c r="R175" s="279"/>
      <c r="S175" s="279"/>
      <c r="T175" s="279"/>
      <c r="U175" s="280"/>
      <c r="V175" s="279"/>
      <c r="W175" s="279"/>
      <c r="X175" s="279"/>
      <c r="Y175" s="279"/>
      <c r="Z175" s="280"/>
      <c r="AA175" s="279"/>
      <c r="AB175" s="279"/>
      <c r="AC175" s="279"/>
      <c r="AD175" s="279"/>
      <c r="AE175" s="279"/>
      <c r="AF175" s="279"/>
      <c r="AG175" s="279"/>
      <c r="AH175" s="279"/>
      <c r="AI175" s="279"/>
      <c r="AJ175" s="279"/>
      <c r="AK175" s="280"/>
      <c r="AL175" s="279"/>
      <c r="AM175" s="279"/>
      <c r="AN175" s="280"/>
      <c r="AO175" s="279"/>
      <c r="AP175" s="280"/>
      <c r="AQ175" s="279"/>
      <c r="AR175" s="285"/>
      <c r="AS175" s="279"/>
      <c r="AT175" s="279"/>
      <c r="AU175" s="279"/>
      <c r="AV175" s="279"/>
      <c r="AW175" s="284"/>
      <c r="AX175" s="285"/>
      <c r="AY175" s="285"/>
      <c r="AZ175" s="285"/>
      <c r="BA175" s="285"/>
      <c r="BB175" s="285"/>
      <c r="BC175" s="285"/>
      <c r="BD175" s="285"/>
      <c r="BE175" s="280"/>
      <c r="BF175" s="284"/>
      <c r="BG175" s="285"/>
      <c r="BH175" s="285"/>
      <c r="BI175" s="285"/>
      <c r="BJ175" s="285"/>
      <c r="BK175" s="285"/>
      <c r="BL175" s="285"/>
      <c r="BM175" s="285"/>
      <c r="BN175" s="280"/>
      <c r="BO175" s="279"/>
      <c r="BP175" s="279"/>
      <c r="BQ175" s="279"/>
      <c r="BR175" s="278"/>
      <c r="BS175" s="279"/>
      <c r="BT175" s="279"/>
      <c r="BU175" s="279"/>
      <c r="BV175" s="279"/>
      <c r="BW175" s="279"/>
      <c r="BX175" s="279"/>
      <c r="BY175" s="279"/>
      <c r="BZ175" s="279"/>
      <c r="CA175" s="279"/>
      <c r="CB175" s="279"/>
      <c r="CC175" s="279"/>
      <c r="CD175" s="279"/>
      <c r="CE175" s="279"/>
    </row>
    <row r="176" spans="1:83">
      <c r="A176" s="278"/>
      <c r="B176" s="278"/>
      <c r="C176" s="279"/>
      <c r="D176" s="279"/>
      <c r="E176" s="279"/>
      <c r="F176" s="279"/>
      <c r="G176" s="279"/>
      <c r="H176" s="279"/>
      <c r="I176" s="279"/>
      <c r="J176" s="279"/>
      <c r="K176" s="279"/>
      <c r="L176" s="279"/>
      <c r="M176" s="279"/>
      <c r="N176" s="280"/>
      <c r="O176" s="279"/>
      <c r="P176" s="280"/>
      <c r="Q176" s="279"/>
      <c r="R176" s="279"/>
      <c r="S176" s="279"/>
      <c r="T176" s="279"/>
      <c r="U176" s="280"/>
      <c r="V176" s="279"/>
      <c r="W176" s="279"/>
      <c r="X176" s="279"/>
      <c r="Y176" s="279"/>
      <c r="Z176" s="280"/>
      <c r="AA176" s="279"/>
      <c r="AB176" s="279"/>
      <c r="AC176" s="279"/>
      <c r="AD176" s="279"/>
      <c r="AE176" s="279"/>
      <c r="AF176" s="279"/>
      <c r="AG176" s="279"/>
      <c r="AH176" s="279"/>
      <c r="AI176" s="279"/>
      <c r="AJ176" s="279"/>
      <c r="AK176" s="280"/>
      <c r="AL176" s="279"/>
      <c r="AM176" s="279"/>
      <c r="AN176" s="280"/>
      <c r="AO176" s="279"/>
      <c r="AP176" s="280"/>
      <c r="AQ176" s="279"/>
      <c r="AR176" s="285"/>
      <c r="AS176" s="279"/>
      <c r="AT176" s="279"/>
      <c r="AU176" s="279"/>
      <c r="AV176" s="279"/>
      <c r="AW176" s="284"/>
      <c r="AX176" s="285"/>
      <c r="AY176" s="285"/>
      <c r="AZ176" s="285"/>
      <c r="BA176" s="285"/>
      <c r="BB176" s="285"/>
      <c r="BC176" s="285"/>
      <c r="BD176" s="285"/>
      <c r="BE176" s="280"/>
      <c r="BF176" s="284"/>
      <c r="BG176" s="285"/>
      <c r="BH176" s="285"/>
      <c r="BI176" s="285"/>
      <c r="BJ176" s="285"/>
      <c r="BK176" s="285"/>
      <c r="BL176" s="285"/>
      <c r="BM176" s="285"/>
      <c r="BN176" s="280"/>
      <c r="BO176" s="279"/>
      <c r="BP176" s="279"/>
      <c r="BQ176" s="279"/>
      <c r="BR176" s="278"/>
      <c r="BS176" s="279"/>
      <c r="BT176" s="279"/>
      <c r="BU176" s="279"/>
      <c r="BV176" s="279"/>
      <c r="BW176" s="279"/>
      <c r="BX176" s="279"/>
      <c r="BY176" s="279"/>
      <c r="BZ176" s="279"/>
      <c r="CA176" s="279"/>
      <c r="CB176" s="279"/>
      <c r="CC176" s="279"/>
      <c r="CD176" s="279"/>
      <c r="CE176" s="279"/>
    </row>
    <row r="177" spans="1:83">
      <c r="A177" s="278"/>
      <c r="B177" s="278"/>
      <c r="C177" s="279"/>
      <c r="D177" s="279"/>
      <c r="E177" s="279"/>
      <c r="F177" s="279"/>
      <c r="G177" s="279"/>
      <c r="H177" s="279"/>
      <c r="I177" s="279"/>
      <c r="J177" s="279"/>
      <c r="K177" s="279"/>
      <c r="L177" s="279"/>
      <c r="M177" s="279"/>
      <c r="N177" s="280"/>
      <c r="O177" s="279"/>
      <c r="P177" s="280"/>
      <c r="Q177" s="279"/>
      <c r="R177" s="279"/>
      <c r="S177" s="279"/>
      <c r="T177" s="279"/>
      <c r="U177" s="280"/>
      <c r="V177" s="279"/>
      <c r="W177" s="279"/>
      <c r="X177" s="279"/>
      <c r="Y177" s="279"/>
      <c r="Z177" s="280"/>
      <c r="AA177" s="279"/>
      <c r="AB177" s="279"/>
      <c r="AC177" s="279"/>
      <c r="AD177" s="279"/>
      <c r="AE177" s="279"/>
      <c r="AF177" s="279"/>
      <c r="AG177" s="279"/>
      <c r="AH177" s="279"/>
      <c r="AI177" s="279"/>
      <c r="AJ177" s="279"/>
      <c r="AK177" s="280"/>
      <c r="AL177" s="279"/>
      <c r="AM177" s="279"/>
      <c r="AN177" s="280"/>
      <c r="AO177" s="279"/>
      <c r="AP177" s="280"/>
      <c r="AQ177" s="279"/>
      <c r="AR177" s="285"/>
      <c r="AS177" s="279"/>
      <c r="AT177" s="279"/>
      <c r="AU177" s="279"/>
      <c r="AV177" s="279"/>
      <c r="AW177" s="284"/>
      <c r="AX177" s="285"/>
      <c r="AY177" s="285"/>
      <c r="AZ177" s="285"/>
      <c r="BA177" s="285"/>
      <c r="BB177" s="285"/>
      <c r="BC177" s="285"/>
      <c r="BD177" s="285"/>
      <c r="BE177" s="280"/>
      <c r="BF177" s="284"/>
      <c r="BG177" s="285"/>
      <c r="BH177" s="285"/>
      <c r="BI177" s="285"/>
      <c r="BJ177" s="285"/>
      <c r="BK177" s="285"/>
      <c r="BL177" s="285"/>
      <c r="BM177" s="285"/>
      <c r="BN177" s="280"/>
      <c r="BO177" s="279"/>
      <c r="BP177" s="279"/>
      <c r="BQ177" s="279"/>
      <c r="BR177" s="278"/>
      <c r="BS177" s="279"/>
      <c r="BT177" s="279"/>
      <c r="BU177" s="279"/>
      <c r="BV177" s="279"/>
      <c r="BW177" s="279"/>
      <c r="BX177" s="279"/>
      <c r="BY177" s="279"/>
      <c r="BZ177" s="279"/>
      <c r="CA177" s="279"/>
      <c r="CB177" s="279"/>
      <c r="CC177" s="279"/>
      <c r="CD177" s="279"/>
      <c r="CE177" s="279"/>
    </row>
    <row r="178" spans="1:83">
      <c r="A178" s="278"/>
      <c r="B178" s="278"/>
      <c r="C178" s="279"/>
      <c r="D178" s="279"/>
      <c r="E178" s="279"/>
      <c r="F178" s="279"/>
      <c r="G178" s="279"/>
      <c r="H178" s="279"/>
      <c r="I178" s="279"/>
      <c r="J178" s="279"/>
      <c r="K178" s="279"/>
      <c r="L178" s="279"/>
      <c r="M178" s="279"/>
      <c r="N178" s="280"/>
      <c r="O178" s="279"/>
      <c r="P178" s="280"/>
      <c r="Q178" s="279"/>
      <c r="R178" s="279"/>
      <c r="S178" s="279"/>
      <c r="T178" s="279"/>
      <c r="U178" s="280"/>
      <c r="V178" s="279"/>
      <c r="W178" s="279"/>
      <c r="X178" s="279"/>
      <c r="Y178" s="279"/>
      <c r="Z178" s="280"/>
      <c r="AA178" s="279"/>
      <c r="AB178" s="279"/>
      <c r="AC178" s="279"/>
      <c r="AD178" s="279"/>
      <c r="AE178" s="279"/>
      <c r="AF178" s="279"/>
      <c r="AG178" s="279"/>
      <c r="AH178" s="279"/>
      <c r="AI178" s="279"/>
      <c r="AJ178" s="279"/>
      <c r="AK178" s="280"/>
      <c r="AL178" s="279"/>
      <c r="AM178" s="279"/>
      <c r="AN178" s="280"/>
      <c r="AO178" s="279"/>
      <c r="AP178" s="280"/>
      <c r="AQ178" s="279"/>
      <c r="AR178" s="285"/>
      <c r="AS178" s="279"/>
      <c r="AT178" s="279"/>
      <c r="AU178" s="279"/>
      <c r="AV178" s="279"/>
      <c r="AW178" s="284"/>
      <c r="AX178" s="285"/>
      <c r="AY178" s="285"/>
      <c r="AZ178" s="285"/>
      <c r="BA178" s="285"/>
      <c r="BB178" s="285"/>
      <c r="BC178" s="285"/>
      <c r="BD178" s="285"/>
      <c r="BE178" s="280"/>
      <c r="BF178" s="284"/>
      <c r="BG178" s="285"/>
      <c r="BH178" s="285"/>
      <c r="BI178" s="285"/>
      <c r="BJ178" s="285"/>
      <c r="BK178" s="285"/>
      <c r="BL178" s="285"/>
      <c r="BM178" s="285"/>
      <c r="BN178" s="280"/>
      <c r="BO178" s="279"/>
      <c r="BP178" s="279"/>
      <c r="BQ178" s="279"/>
      <c r="BR178" s="278"/>
      <c r="BS178" s="279"/>
      <c r="BT178" s="279"/>
      <c r="BU178" s="279"/>
      <c r="BV178" s="279"/>
      <c r="BW178" s="279"/>
      <c r="BX178" s="279"/>
      <c r="BY178" s="279"/>
      <c r="BZ178" s="279"/>
      <c r="CA178" s="279"/>
      <c r="CB178" s="279"/>
      <c r="CC178" s="279"/>
      <c r="CD178" s="279"/>
      <c r="CE178" s="279"/>
    </row>
    <row r="179" spans="1:83">
      <c r="A179" s="278"/>
      <c r="B179" s="278"/>
      <c r="C179" s="279"/>
      <c r="D179" s="279"/>
      <c r="E179" s="279"/>
      <c r="F179" s="279"/>
      <c r="G179" s="279"/>
      <c r="H179" s="279"/>
      <c r="I179" s="279"/>
      <c r="J179" s="279"/>
      <c r="K179" s="279"/>
      <c r="L179" s="279"/>
      <c r="M179" s="279"/>
      <c r="N179" s="280"/>
      <c r="O179" s="279"/>
      <c r="P179" s="280"/>
      <c r="Q179" s="279"/>
      <c r="R179" s="279"/>
      <c r="S179" s="279"/>
      <c r="T179" s="279"/>
      <c r="U179" s="280"/>
      <c r="V179" s="279"/>
      <c r="W179" s="279"/>
      <c r="X179" s="279"/>
      <c r="Y179" s="279"/>
      <c r="Z179" s="280"/>
      <c r="AA179" s="279"/>
      <c r="AB179" s="279"/>
      <c r="AC179" s="279"/>
      <c r="AD179" s="279"/>
      <c r="AE179" s="279"/>
      <c r="AF179" s="279"/>
      <c r="AG179" s="279"/>
      <c r="AH179" s="279"/>
      <c r="AI179" s="279"/>
      <c r="AJ179" s="279"/>
      <c r="AK179" s="280"/>
      <c r="AL179" s="279"/>
      <c r="AM179" s="279"/>
      <c r="AN179" s="280"/>
      <c r="AO179" s="279"/>
      <c r="AP179" s="280"/>
      <c r="AQ179" s="279"/>
      <c r="AR179" s="285"/>
      <c r="AS179" s="279"/>
      <c r="AT179" s="279"/>
      <c r="AU179" s="279"/>
      <c r="AV179" s="279"/>
      <c r="AW179" s="284"/>
      <c r="AX179" s="285"/>
      <c r="AY179" s="285"/>
      <c r="AZ179" s="285"/>
      <c r="BA179" s="285"/>
      <c r="BB179" s="285"/>
      <c r="BC179" s="285"/>
      <c r="BD179" s="285"/>
      <c r="BE179" s="280"/>
      <c r="BF179" s="284"/>
      <c r="BG179" s="285"/>
      <c r="BH179" s="285"/>
      <c r="BI179" s="285"/>
      <c r="BJ179" s="285"/>
      <c r="BK179" s="285"/>
      <c r="BL179" s="285"/>
      <c r="BM179" s="285"/>
      <c r="BN179" s="280"/>
      <c r="BO179" s="279"/>
      <c r="BP179" s="279"/>
      <c r="BQ179" s="279"/>
      <c r="BR179" s="278"/>
      <c r="BS179" s="279"/>
      <c r="BT179" s="279"/>
      <c r="BU179" s="279"/>
      <c r="BV179" s="279"/>
      <c r="BW179" s="279"/>
      <c r="BX179" s="279"/>
      <c r="BY179" s="279"/>
      <c r="BZ179" s="279"/>
      <c r="CA179" s="279"/>
      <c r="CB179" s="279"/>
      <c r="CC179" s="279"/>
      <c r="CD179" s="279"/>
      <c r="CE179" s="279"/>
    </row>
    <row r="180" spans="1:83">
      <c r="A180" s="278"/>
      <c r="B180" s="278"/>
      <c r="C180" s="279"/>
      <c r="D180" s="279"/>
      <c r="E180" s="279"/>
      <c r="F180" s="279"/>
      <c r="G180" s="279"/>
      <c r="H180" s="279"/>
      <c r="I180" s="279"/>
      <c r="J180" s="279"/>
      <c r="K180" s="279"/>
      <c r="L180" s="279"/>
      <c r="M180" s="279"/>
      <c r="N180" s="280"/>
      <c r="O180" s="279"/>
      <c r="P180" s="280"/>
      <c r="Q180" s="279"/>
      <c r="R180" s="279"/>
      <c r="S180" s="279"/>
      <c r="T180" s="279"/>
      <c r="U180" s="280"/>
      <c r="V180" s="279"/>
      <c r="W180" s="279"/>
      <c r="X180" s="279"/>
      <c r="Y180" s="279"/>
      <c r="Z180" s="280"/>
      <c r="AA180" s="279"/>
      <c r="AB180" s="279"/>
      <c r="AC180" s="279"/>
      <c r="AD180" s="279"/>
      <c r="AE180" s="279"/>
      <c r="AF180" s="279"/>
      <c r="AG180" s="279"/>
      <c r="AH180" s="279"/>
      <c r="AI180" s="279"/>
      <c r="AJ180" s="279"/>
      <c r="AK180" s="280"/>
      <c r="AL180" s="279"/>
      <c r="AM180" s="279"/>
      <c r="AN180" s="280"/>
      <c r="AO180" s="279"/>
      <c r="AP180" s="280"/>
      <c r="AQ180" s="279"/>
      <c r="AR180" s="285"/>
      <c r="AS180" s="279"/>
      <c r="AT180" s="279"/>
      <c r="AU180" s="279"/>
      <c r="AV180" s="279"/>
      <c r="AW180" s="284"/>
      <c r="AX180" s="285"/>
      <c r="AY180" s="285"/>
      <c r="AZ180" s="285"/>
      <c r="BA180" s="285"/>
      <c r="BB180" s="285"/>
      <c r="BC180" s="285"/>
      <c r="BD180" s="285"/>
      <c r="BE180" s="280"/>
      <c r="BF180" s="284"/>
      <c r="BG180" s="285"/>
      <c r="BH180" s="285"/>
      <c r="BI180" s="285"/>
      <c r="BJ180" s="285"/>
      <c r="BK180" s="285"/>
      <c r="BL180" s="285"/>
      <c r="BM180" s="285"/>
      <c r="BN180" s="280"/>
      <c r="BO180" s="279"/>
      <c r="BP180" s="279"/>
      <c r="BQ180" s="279"/>
      <c r="BR180" s="278"/>
      <c r="BS180" s="279"/>
      <c r="BT180" s="279"/>
      <c r="BU180" s="279"/>
      <c r="BV180" s="279"/>
      <c r="BW180" s="279"/>
      <c r="BX180" s="279"/>
      <c r="BY180" s="279"/>
      <c r="BZ180" s="279"/>
      <c r="CA180" s="279"/>
      <c r="CB180" s="279"/>
      <c r="CC180" s="279"/>
      <c r="CD180" s="279"/>
      <c r="CE180" s="279"/>
    </row>
    <row r="181" spans="1:83">
      <c r="A181" s="278"/>
      <c r="B181" s="278"/>
      <c r="C181" s="279"/>
      <c r="D181" s="279"/>
      <c r="E181" s="279"/>
      <c r="F181" s="279"/>
      <c r="G181" s="279"/>
      <c r="H181" s="279"/>
      <c r="I181" s="279"/>
      <c r="J181" s="279"/>
      <c r="K181" s="279"/>
      <c r="L181" s="279"/>
      <c r="M181" s="279"/>
      <c r="N181" s="280"/>
      <c r="O181" s="279"/>
      <c r="P181" s="280"/>
      <c r="Q181" s="279"/>
      <c r="R181" s="279"/>
      <c r="S181" s="279"/>
      <c r="T181" s="279"/>
      <c r="U181" s="280"/>
      <c r="V181" s="279"/>
      <c r="W181" s="279"/>
      <c r="X181" s="279"/>
      <c r="Y181" s="279"/>
      <c r="Z181" s="280"/>
      <c r="AA181" s="279"/>
      <c r="AB181" s="279"/>
      <c r="AC181" s="279"/>
      <c r="AD181" s="279"/>
      <c r="AE181" s="279"/>
      <c r="AF181" s="279"/>
      <c r="AG181" s="279"/>
      <c r="AH181" s="279"/>
      <c r="AI181" s="279"/>
      <c r="AJ181" s="279"/>
      <c r="AK181" s="280"/>
      <c r="AL181" s="279"/>
      <c r="AM181" s="279"/>
      <c r="AN181" s="280"/>
      <c r="AO181" s="279"/>
      <c r="AP181" s="280"/>
      <c r="AQ181" s="279"/>
      <c r="AR181" s="285"/>
      <c r="AS181" s="279"/>
      <c r="AT181" s="279"/>
      <c r="AU181" s="279"/>
      <c r="AV181" s="279"/>
      <c r="AW181" s="284"/>
      <c r="AX181" s="285"/>
      <c r="AY181" s="285"/>
      <c r="AZ181" s="285"/>
      <c r="BA181" s="285"/>
      <c r="BB181" s="285"/>
      <c r="BC181" s="285"/>
      <c r="BD181" s="285"/>
      <c r="BE181" s="280"/>
      <c r="BF181" s="284"/>
      <c r="BG181" s="285"/>
      <c r="BH181" s="285"/>
      <c r="BI181" s="285"/>
      <c r="BJ181" s="285"/>
      <c r="BK181" s="285"/>
      <c r="BL181" s="285"/>
      <c r="BM181" s="285"/>
      <c r="BN181" s="280"/>
      <c r="BO181" s="279"/>
      <c r="BP181" s="279"/>
      <c r="BQ181" s="279"/>
      <c r="BR181" s="278"/>
      <c r="BS181" s="279"/>
      <c r="BT181" s="279"/>
      <c r="BU181" s="279"/>
      <c r="BV181" s="279"/>
      <c r="BW181" s="279"/>
      <c r="BX181" s="279"/>
      <c r="BY181" s="279"/>
      <c r="BZ181" s="279"/>
      <c r="CA181" s="279"/>
      <c r="CB181" s="279"/>
      <c r="CC181" s="279"/>
      <c r="CD181" s="279"/>
      <c r="CE181" s="279"/>
    </row>
    <row r="182" spans="1:83">
      <c r="A182" s="278"/>
      <c r="B182" s="278"/>
      <c r="C182" s="279"/>
      <c r="D182" s="279"/>
      <c r="E182" s="279"/>
      <c r="F182" s="279"/>
      <c r="G182" s="279"/>
      <c r="H182" s="279"/>
      <c r="I182" s="279"/>
      <c r="J182" s="279"/>
      <c r="K182" s="279"/>
      <c r="L182" s="279"/>
      <c r="M182" s="279"/>
      <c r="N182" s="280"/>
      <c r="O182" s="279"/>
      <c r="P182" s="280"/>
      <c r="Q182" s="279"/>
      <c r="R182" s="279"/>
      <c r="S182" s="279"/>
      <c r="T182" s="279"/>
      <c r="U182" s="280"/>
      <c r="V182" s="279"/>
      <c r="W182" s="279"/>
      <c r="X182" s="279"/>
      <c r="Y182" s="279"/>
      <c r="Z182" s="280"/>
      <c r="AA182" s="279"/>
      <c r="AB182" s="279"/>
      <c r="AC182" s="279"/>
      <c r="AD182" s="279"/>
      <c r="AE182" s="279"/>
      <c r="AF182" s="279"/>
      <c r="AG182" s="279"/>
      <c r="AH182" s="279"/>
      <c r="AI182" s="279"/>
      <c r="AJ182" s="279"/>
      <c r="AK182" s="280"/>
      <c r="AL182" s="279"/>
      <c r="AM182" s="279"/>
      <c r="AN182" s="280"/>
      <c r="AO182" s="279"/>
      <c r="AP182" s="280"/>
      <c r="AQ182" s="279"/>
      <c r="AR182" s="285"/>
      <c r="AS182" s="279"/>
      <c r="AT182" s="279"/>
      <c r="AU182" s="279"/>
      <c r="AV182" s="279"/>
      <c r="AW182" s="284"/>
      <c r="AX182" s="285"/>
      <c r="AY182" s="285"/>
      <c r="AZ182" s="285"/>
      <c r="BA182" s="285"/>
      <c r="BB182" s="285"/>
      <c r="BC182" s="285"/>
      <c r="BD182" s="285"/>
      <c r="BE182" s="280"/>
      <c r="BF182" s="284"/>
      <c r="BG182" s="285"/>
      <c r="BH182" s="285"/>
      <c r="BI182" s="285"/>
      <c r="BJ182" s="285"/>
      <c r="BK182" s="285"/>
      <c r="BL182" s="285"/>
      <c r="BM182" s="285"/>
      <c r="BN182" s="280"/>
      <c r="BO182" s="279"/>
      <c r="BP182" s="279"/>
      <c r="BQ182" s="279"/>
      <c r="BR182" s="278"/>
      <c r="BS182" s="279"/>
      <c r="BT182" s="279"/>
      <c r="BU182" s="279"/>
      <c r="BV182" s="279"/>
      <c r="BW182" s="279"/>
      <c r="BX182" s="279"/>
      <c r="BY182" s="279"/>
      <c r="BZ182" s="279"/>
      <c r="CA182" s="279"/>
      <c r="CB182" s="279"/>
      <c r="CC182" s="279"/>
      <c r="CD182" s="279"/>
      <c r="CE182" s="279"/>
    </row>
    <row r="183" spans="1:83">
      <c r="A183" s="278"/>
      <c r="B183" s="278"/>
      <c r="C183" s="279"/>
      <c r="D183" s="279"/>
      <c r="E183" s="279"/>
      <c r="F183" s="279"/>
      <c r="G183" s="279"/>
      <c r="H183" s="279"/>
      <c r="I183" s="279"/>
      <c r="J183" s="279"/>
      <c r="K183" s="279"/>
      <c r="L183" s="279"/>
      <c r="M183" s="279"/>
      <c r="N183" s="280"/>
      <c r="O183" s="279"/>
      <c r="P183" s="280"/>
      <c r="Q183" s="279"/>
      <c r="R183" s="279"/>
      <c r="S183" s="279"/>
      <c r="T183" s="279"/>
      <c r="U183" s="280"/>
      <c r="V183" s="279"/>
      <c r="W183" s="279"/>
      <c r="X183" s="279"/>
      <c r="Y183" s="279"/>
      <c r="Z183" s="280"/>
      <c r="AA183" s="279"/>
      <c r="AB183" s="279"/>
      <c r="AC183" s="279"/>
      <c r="AD183" s="279"/>
      <c r="AE183" s="279"/>
      <c r="AF183" s="279"/>
      <c r="AG183" s="279"/>
      <c r="AH183" s="279"/>
      <c r="AI183" s="279"/>
      <c r="AJ183" s="279"/>
      <c r="AK183" s="280"/>
      <c r="AL183" s="279"/>
      <c r="AM183" s="279"/>
      <c r="AN183" s="280"/>
      <c r="AO183" s="279"/>
      <c r="AP183" s="280"/>
      <c r="AQ183" s="279"/>
      <c r="AR183" s="285"/>
      <c r="AS183" s="279"/>
      <c r="AT183" s="279"/>
      <c r="AU183" s="279"/>
      <c r="AV183" s="279"/>
      <c r="AW183" s="284"/>
      <c r="AX183" s="285"/>
      <c r="AY183" s="285"/>
      <c r="AZ183" s="285"/>
      <c r="BA183" s="285"/>
      <c r="BB183" s="285"/>
      <c r="BC183" s="285"/>
      <c r="BD183" s="285"/>
      <c r="BE183" s="280"/>
      <c r="BF183" s="284"/>
      <c r="BG183" s="285"/>
      <c r="BH183" s="285"/>
      <c r="BI183" s="285"/>
      <c r="BJ183" s="285"/>
      <c r="BK183" s="285"/>
      <c r="BL183" s="285"/>
      <c r="BM183" s="285"/>
      <c r="BN183" s="280"/>
      <c r="BO183" s="279"/>
      <c r="BP183" s="279"/>
      <c r="BQ183" s="279"/>
      <c r="BR183" s="278"/>
      <c r="BS183" s="279"/>
      <c r="BT183" s="279"/>
      <c r="BU183" s="279"/>
      <c r="BV183" s="279"/>
      <c r="BW183" s="279"/>
      <c r="BX183" s="279"/>
      <c r="BY183" s="279"/>
      <c r="BZ183" s="279"/>
      <c r="CA183" s="279"/>
      <c r="CB183" s="279"/>
      <c r="CC183" s="279"/>
      <c r="CD183" s="279"/>
      <c r="CE183" s="279"/>
    </row>
    <row r="184" spans="1:83">
      <c r="A184" s="278"/>
      <c r="B184" s="278"/>
      <c r="C184" s="279"/>
      <c r="D184" s="279"/>
      <c r="E184" s="279"/>
      <c r="F184" s="279"/>
      <c r="G184" s="279"/>
      <c r="H184" s="279"/>
      <c r="I184" s="279"/>
      <c r="J184" s="279"/>
      <c r="K184" s="279"/>
      <c r="L184" s="279"/>
      <c r="M184" s="279"/>
      <c r="N184" s="280"/>
      <c r="O184" s="279"/>
      <c r="P184" s="280"/>
      <c r="Q184" s="279"/>
      <c r="R184" s="279"/>
      <c r="S184" s="279"/>
      <c r="T184" s="279"/>
      <c r="U184" s="280"/>
      <c r="V184" s="279"/>
      <c r="W184" s="279"/>
      <c r="X184" s="279"/>
      <c r="Y184" s="279"/>
      <c r="Z184" s="280"/>
      <c r="AA184" s="279"/>
      <c r="AB184" s="279"/>
      <c r="AC184" s="279"/>
      <c r="AD184" s="279"/>
      <c r="AE184" s="279"/>
      <c r="AF184" s="279"/>
      <c r="AG184" s="279"/>
      <c r="AH184" s="279"/>
      <c r="AI184" s="279"/>
      <c r="AJ184" s="279"/>
      <c r="AK184" s="280"/>
      <c r="AL184" s="279"/>
      <c r="AM184" s="279"/>
      <c r="AN184" s="280"/>
      <c r="AO184" s="279"/>
      <c r="AP184" s="280"/>
      <c r="AQ184" s="279"/>
      <c r="AR184" s="285"/>
      <c r="AS184" s="279"/>
      <c r="AT184" s="279"/>
      <c r="AU184" s="279"/>
      <c r="AV184" s="279"/>
      <c r="AW184" s="284"/>
      <c r="AX184" s="285"/>
      <c r="AY184" s="285"/>
      <c r="AZ184" s="285"/>
      <c r="BA184" s="285"/>
      <c r="BB184" s="285"/>
      <c r="BC184" s="285"/>
      <c r="BD184" s="285"/>
      <c r="BE184" s="280"/>
      <c r="BF184" s="284"/>
      <c r="BG184" s="285"/>
      <c r="BH184" s="285"/>
      <c r="BI184" s="285"/>
      <c r="BJ184" s="285"/>
      <c r="BK184" s="285"/>
      <c r="BL184" s="285"/>
      <c r="BM184" s="285"/>
      <c r="BN184" s="280"/>
      <c r="BO184" s="279"/>
      <c r="BP184" s="279"/>
      <c r="BQ184" s="279"/>
      <c r="BR184" s="278"/>
      <c r="BS184" s="279"/>
      <c r="BT184" s="279"/>
      <c r="BU184" s="279"/>
      <c r="BV184" s="279"/>
      <c r="BW184" s="279"/>
      <c r="BX184" s="279"/>
      <c r="BY184" s="279"/>
      <c r="BZ184" s="279"/>
      <c r="CA184" s="279"/>
      <c r="CB184" s="279"/>
      <c r="CC184" s="279"/>
      <c r="CD184" s="279"/>
      <c r="CE184" s="279"/>
    </row>
    <row r="185" spans="1:83">
      <c r="A185" s="278"/>
      <c r="B185" s="278"/>
      <c r="C185" s="279"/>
      <c r="D185" s="279"/>
      <c r="E185" s="279"/>
      <c r="F185" s="279"/>
      <c r="G185" s="279"/>
      <c r="H185" s="279"/>
      <c r="I185" s="279"/>
      <c r="J185" s="279"/>
      <c r="K185" s="279"/>
      <c r="L185" s="279"/>
      <c r="M185" s="279"/>
      <c r="N185" s="280"/>
      <c r="O185" s="279"/>
      <c r="P185" s="280"/>
      <c r="Q185" s="279"/>
      <c r="R185" s="279"/>
      <c r="S185" s="279"/>
      <c r="T185" s="279"/>
      <c r="U185" s="280"/>
      <c r="V185" s="279"/>
      <c r="W185" s="279"/>
      <c r="X185" s="279"/>
      <c r="Y185" s="279"/>
      <c r="Z185" s="280"/>
      <c r="AA185" s="279"/>
      <c r="AB185" s="279"/>
      <c r="AC185" s="279"/>
      <c r="AD185" s="279"/>
      <c r="AE185" s="279"/>
      <c r="AF185" s="279"/>
      <c r="AG185" s="279"/>
      <c r="AH185" s="279"/>
      <c r="AI185" s="279"/>
      <c r="AJ185" s="279"/>
      <c r="AK185" s="280"/>
      <c r="AL185" s="279"/>
      <c r="AM185" s="279"/>
      <c r="AN185" s="280"/>
      <c r="AO185" s="279"/>
      <c r="AP185" s="280"/>
      <c r="AQ185" s="279"/>
      <c r="AR185" s="285"/>
      <c r="AS185" s="279"/>
      <c r="AT185" s="279"/>
      <c r="AU185" s="279"/>
      <c r="AV185" s="279"/>
      <c r="AW185" s="284"/>
      <c r="AX185" s="285"/>
      <c r="AY185" s="285"/>
      <c r="AZ185" s="285"/>
      <c r="BA185" s="285"/>
      <c r="BB185" s="285"/>
      <c r="BC185" s="285"/>
      <c r="BD185" s="285"/>
      <c r="BE185" s="280"/>
      <c r="BF185" s="284"/>
      <c r="BG185" s="285"/>
      <c r="BH185" s="285"/>
      <c r="BI185" s="285"/>
      <c r="BJ185" s="285"/>
      <c r="BK185" s="285"/>
      <c r="BL185" s="285"/>
      <c r="BM185" s="285"/>
      <c r="BN185" s="280"/>
      <c r="BO185" s="279"/>
      <c r="BP185" s="279"/>
      <c r="BQ185" s="279"/>
      <c r="BR185" s="278"/>
      <c r="BS185" s="279"/>
      <c r="BT185" s="279"/>
      <c r="BU185" s="279"/>
      <c r="BV185" s="279"/>
      <c r="BW185" s="279"/>
      <c r="BX185" s="279"/>
      <c r="BY185" s="279"/>
      <c r="BZ185" s="279"/>
      <c r="CA185" s="279"/>
      <c r="CB185" s="279"/>
      <c r="CC185" s="279"/>
      <c r="CD185" s="279"/>
      <c r="CE185" s="279"/>
    </row>
    <row r="186" spans="1:83">
      <c r="A186" s="278"/>
      <c r="B186" s="278"/>
      <c r="C186" s="279"/>
      <c r="D186" s="279"/>
      <c r="E186" s="279"/>
      <c r="F186" s="279"/>
      <c r="G186" s="279"/>
      <c r="H186" s="279"/>
      <c r="I186" s="279"/>
      <c r="J186" s="279"/>
      <c r="K186" s="279"/>
      <c r="L186" s="279"/>
      <c r="M186" s="279"/>
      <c r="N186" s="280"/>
      <c r="O186" s="279"/>
      <c r="P186" s="280"/>
      <c r="Q186" s="279"/>
      <c r="R186" s="279"/>
      <c r="S186" s="279"/>
      <c r="T186" s="279"/>
      <c r="U186" s="280"/>
      <c r="V186" s="279"/>
      <c r="W186" s="279"/>
      <c r="X186" s="279"/>
      <c r="Y186" s="279"/>
      <c r="Z186" s="280"/>
      <c r="AA186" s="279"/>
      <c r="AB186" s="279"/>
      <c r="AC186" s="279"/>
      <c r="AD186" s="279"/>
      <c r="AE186" s="279"/>
      <c r="AF186" s="279"/>
      <c r="AG186" s="279"/>
      <c r="AH186" s="279"/>
      <c r="AI186" s="279"/>
      <c r="AJ186" s="279"/>
      <c r="AK186" s="280"/>
      <c r="AL186" s="279"/>
      <c r="AM186" s="279"/>
      <c r="AN186" s="280"/>
      <c r="AO186" s="279"/>
      <c r="AP186" s="280"/>
      <c r="AQ186" s="279"/>
      <c r="AR186" s="285"/>
      <c r="AS186" s="279"/>
      <c r="AT186" s="279"/>
      <c r="AU186" s="279"/>
      <c r="AV186" s="279"/>
      <c r="AW186" s="284"/>
      <c r="AX186" s="285"/>
      <c r="AY186" s="285"/>
      <c r="AZ186" s="285"/>
      <c r="BA186" s="285"/>
      <c r="BB186" s="285"/>
      <c r="BC186" s="285"/>
      <c r="BD186" s="285"/>
      <c r="BE186" s="280"/>
      <c r="BF186" s="284"/>
      <c r="BG186" s="285"/>
      <c r="BH186" s="285"/>
      <c r="BI186" s="285"/>
      <c r="BJ186" s="285"/>
      <c r="BK186" s="285"/>
      <c r="BL186" s="285"/>
      <c r="BM186" s="285"/>
      <c r="BN186" s="280"/>
      <c r="BO186" s="279"/>
      <c r="BP186" s="279"/>
      <c r="BQ186" s="279"/>
      <c r="BR186" s="278"/>
      <c r="BS186" s="279"/>
      <c r="BT186" s="279"/>
      <c r="BU186" s="279"/>
      <c r="BV186" s="279"/>
      <c r="BW186" s="279"/>
      <c r="BX186" s="279"/>
      <c r="BY186" s="279"/>
      <c r="BZ186" s="279"/>
      <c r="CA186" s="279"/>
      <c r="CB186" s="279"/>
      <c r="CC186" s="279"/>
      <c r="CD186" s="279"/>
      <c r="CE186" s="279"/>
    </row>
    <row r="187" spans="1:83">
      <c r="A187" s="278"/>
      <c r="B187" s="278"/>
      <c r="C187" s="279"/>
      <c r="D187" s="279"/>
      <c r="E187" s="279"/>
      <c r="F187" s="279"/>
      <c r="G187" s="279"/>
      <c r="H187" s="279"/>
      <c r="I187" s="279"/>
      <c r="J187" s="279"/>
      <c r="K187" s="279"/>
      <c r="L187" s="279"/>
      <c r="M187" s="279"/>
      <c r="N187" s="280"/>
      <c r="O187" s="279"/>
      <c r="P187" s="280"/>
      <c r="Q187" s="279"/>
      <c r="R187" s="279"/>
      <c r="S187" s="279"/>
      <c r="T187" s="279"/>
      <c r="U187" s="280"/>
      <c r="V187" s="279"/>
      <c r="W187" s="279"/>
      <c r="X187" s="279"/>
      <c r="Y187" s="279"/>
      <c r="Z187" s="280"/>
      <c r="AA187" s="279"/>
      <c r="AB187" s="279"/>
      <c r="AC187" s="279"/>
      <c r="AD187" s="279"/>
      <c r="AE187" s="279"/>
      <c r="AF187" s="279"/>
      <c r="AG187" s="279"/>
      <c r="AH187" s="279"/>
      <c r="AI187" s="279"/>
      <c r="AJ187" s="279"/>
      <c r="AK187" s="280"/>
      <c r="AL187" s="279"/>
      <c r="AM187" s="279"/>
      <c r="AN187" s="280"/>
      <c r="AO187" s="279"/>
      <c r="AP187" s="280"/>
      <c r="AQ187" s="279"/>
      <c r="AR187" s="285"/>
      <c r="AS187" s="279"/>
      <c r="AT187" s="279"/>
      <c r="AU187" s="279"/>
      <c r="AV187" s="279"/>
      <c r="AW187" s="284"/>
      <c r="AX187" s="285"/>
      <c r="AY187" s="285"/>
      <c r="AZ187" s="285"/>
      <c r="BA187" s="285"/>
      <c r="BB187" s="285"/>
      <c r="BC187" s="285"/>
      <c r="BD187" s="285"/>
      <c r="BE187" s="280"/>
      <c r="BF187" s="284"/>
      <c r="BG187" s="285"/>
      <c r="BH187" s="285"/>
      <c r="BI187" s="285"/>
      <c r="BJ187" s="285"/>
      <c r="BK187" s="285"/>
      <c r="BL187" s="285"/>
      <c r="BM187" s="285"/>
      <c r="BN187" s="280"/>
      <c r="BO187" s="279"/>
      <c r="BP187" s="279"/>
      <c r="BQ187" s="279"/>
      <c r="BR187" s="278"/>
      <c r="BS187" s="279"/>
      <c r="BT187" s="279"/>
      <c r="BU187" s="279"/>
      <c r="BV187" s="279"/>
      <c r="BW187" s="279"/>
      <c r="BX187" s="279"/>
      <c r="BY187" s="279"/>
      <c r="BZ187" s="279"/>
      <c r="CA187" s="279"/>
      <c r="CB187" s="279"/>
      <c r="CC187" s="279"/>
      <c r="CD187" s="279"/>
      <c r="CE187" s="279"/>
    </row>
    <row r="188" spans="1:83">
      <c r="A188" s="278"/>
      <c r="B188" s="278"/>
      <c r="C188" s="279"/>
      <c r="D188" s="279"/>
      <c r="E188" s="279"/>
      <c r="F188" s="279"/>
      <c r="G188" s="279"/>
      <c r="H188" s="279"/>
      <c r="I188" s="279"/>
      <c r="J188" s="279"/>
      <c r="K188" s="279"/>
      <c r="L188" s="279"/>
      <c r="M188" s="279"/>
      <c r="N188" s="280"/>
      <c r="O188" s="279"/>
      <c r="P188" s="280"/>
      <c r="Q188" s="279"/>
      <c r="R188" s="279"/>
      <c r="S188" s="279"/>
      <c r="T188" s="279"/>
      <c r="U188" s="280"/>
      <c r="V188" s="279"/>
      <c r="W188" s="279"/>
      <c r="X188" s="279"/>
      <c r="Y188" s="279"/>
      <c r="Z188" s="280"/>
      <c r="AA188" s="279"/>
      <c r="AB188" s="279"/>
      <c r="AC188" s="279"/>
      <c r="AD188" s="279"/>
      <c r="AE188" s="279"/>
      <c r="AF188" s="279"/>
      <c r="AG188" s="279"/>
      <c r="AH188" s="279"/>
      <c r="AI188" s="279"/>
      <c r="AJ188" s="279"/>
      <c r="AK188" s="280"/>
      <c r="AL188" s="279"/>
      <c r="AM188" s="279"/>
      <c r="AN188" s="280"/>
      <c r="AO188" s="279"/>
      <c r="AP188" s="280"/>
      <c r="AQ188" s="279"/>
      <c r="AR188" s="285"/>
      <c r="AS188" s="279"/>
      <c r="AT188" s="279"/>
      <c r="AU188" s="279"/>
      <c r="AV188" s="279"/>
      <c r="AW188" s="284"/>
      <c r="AX188" s="285"/>
      <c r="AY188" s="285"/>
      <c r="AZ188" s="285"/>
      <c r="BA188" s="285"/>
      <c r="BB188" s="285"/>
      <c r="BC188" s="285"/>
      <c r="BD188" s="285"/>
      <c r="BE188" s="280"/>
      <c r="BF188" s="284"/>
      <c r="BG188" s="285"/>
      <c r="BH188" s="285"/>
      <c r="BI188" s="285"/>
      <c r="BJ188" s="285"/>
      <c r="BK188" s="285"/>
      <c r="BL188" s="285"/>
      <c r="BM188" s="285"/>
      <c r="BN188" s="280"/>
      <c r="BO188" s="279"/>
      <c r="BP188" s="279"/>
      <c r="BQ188" s="279"/>
      <c r="BR188" s="278"/>
      <c r="BS188" s="279"/>
      <c r="BT188" s="279"/>
      <c r="BU188" s="279"/>
      <c r="BV188" s="279"/>
      <c r="BW188" s="279"/>
      <c r="BX188" s="279"/>
      <c r="BY188" s="279"/>
      <c r="BZ188" s="279"/>
      <c r="CA188" s="279"/>
      <c r="CB188" s="279"/>
      <c r="CC188" s="279"/>
      <c r="CD188" s="279"/>
      <c r="CE188" s="279"/>
    </row>
    <row r="189" spans="1:83">
      <c r="A189" s="278"/>
      <c r="B189" s="278"/>
      <c r="C189" s="279"/>
      <c r="D189" s="279"/>
      <c r="E189" s="279"/>
      <c r="F189" s="279"/>
      <c r="G189" s="279"/>
      <c r="H189" s="279"/>
      <c r="I189" s="279"/>
      <c r="J189" s="279"/>
      <c r="K189" s="279"/>
      <c r="L189" s="279"/>
      <c r="M189" s="279"/>
      <c r="N189" s="280"/>
      <c r="O189" s="279"/>
      <c r="P189" s="280"/>
      <c r="Q189" s="279"/>
      <c r="R189" s="279"/>
      <c r="S189" s="279"/>
      <c r="T189" s="279"/>
      <c r="U189" s="280"/>
      <c r="V189" s="279"/>
      <c r="W189" s="279"/>
      <c r="X189" s="279"/>
      <c r="Y189" s="279"/>
      <c r="Z189" s="280"/>
      <c r="AA189" s="279"/>
      <c r="AB189" s="279"/>
      <c r="AC189" s="279"/>
      <c r="AD189" s="279"/>
      <c r="AE189" s="279"/>
      <c r="AF189" s="279"/>
      <c r="AG189" s="279"/>
      <c r="AH189" s="279"/>
      <c r="AI189" s="279"/>
      <c r="AJ189" s="279"/>
      <c r="AK189" s="280"/>
      <c r="AL189" s="279"/>
      <c r="AM189" s="279"/>
      <c r="AN189" s="280"/>
      <c r="AO189" s="279"/>
      <c r="AP189" s="280"/>
      <c r="AQ189" s="279"/>
      <c r="AR189" s="285"/>
      <c r="AS189" s="279"/>
      <c r="AT189" s="279"/>
      <c r="AU189" s="279"/>
      <c r="AV189" s="279"/>
      <c r="AW189" s="284"/>
      <c r="AX189" s="285"/>
      <c r="AY189" s="285"/>
      <c r="AZ189" s="285"/>
      <c r="BA189" s="285"/>
      <c r="BB189" s="285"/>
      <c r="BC189" s="285"/>
      <c r="BD189" s="285"/>
      <c r="BE189" s="280"/>
      <c r="BF189" s="284"/>
      <c r="BG189" s="285"/>
      <c r="BH189" s="285"/>
      <c r="BI189" s="285"/>
      <c r="BJ189" s="285"/>
      <c r="BK189" s="285"/>
      <c r="BL189" s="285"/>
      <c r="BM189" s="285"/>
      <c r="BN189" s="280"/>
      <c r="BO189" s="279"/>
      <c r="BP189" s="279"/>
      <c r="BQ189" s="279"/>
      <c r="BR189" s="278"/>
      <c r="BS189" s="279"/>
      <c r="BT189" s="279"/>
      <c r="BU189" s="279"/>
      <c r="BV189" s="279"/>
      <c r="BW189" s="279"/>
      <c r="BX189" s="279"/>
      <c r="BY189" s="279"/>
      <c r="BZ189" s="279"/>
      <c r="CA189" s="279"/>
      <c r="CB189" s="279"/>
      <c r="CC189" s="279"/>
      <c r="CD189" s="279"/>
      <c r="CE189" s="279"/>
    </row>
    <row r="190" spans="1:83">
      <c r="A190" s="278"/>
      <c r="B190" s="278"/>
      <c r="C190" s="279"/>
      <c r="D190" s="279"/>
      <c r="E190" s="279"/>
      <c r="F190" s="279"/>
      <c r="G190" s="279"/>
      <c r="H190" s="279"/>
      <c r="I190" s="279"/>
      <c r="J190" s="279"/>
      <c r="K190" s="279"/>
      <c r="L190" s="279"/>
      <c r="M190" s="279"/>
      <c r="N190" s="280"/>
      <c r="O190" s="279"/>
      <c r="P190" s="280"/>
      <c r="Q190" s="279"/>
      <c r="R190" s="279"/>
      <c r="S190" s="279"/>
      <c r="T190" s="279"/>
      <c r="U190" s="280"/>
      <c r="V190" s="279"/>
      <c r="W190" s="279"/>
      <c r="X190" s="279"/>
      <c r="Y190" s="279"/>
      <c r="Z190" s="280"/>
      <c r="AA190" s="279"/>
      <c r="AB190" s="279"/>
      <c r="AC190" s="279"/>
      <c r="AD190" s="279"/>
      <c r="AE190" s="279"/>
      <c r="AF190" s="279"/>
      <c r="AG190" s="279"/>
      <c r="AH190" s="279"/>
      <c r="AI190" s="279"/>
      <c r="AJ190" s="279"/>
      <c r="AK190" s="280"/>
      <c r="AL190" s="279"/>
      <c r="AM190" s="279"/>
      <c r="AN190" s="280"/>
      <c r="AO190" s="279"/>
      <c r="AP190" s="280"/>
      <c r="AQ190" s="279"/>
      <c r="AR190" s="285"/>
      <c r="AS190" s="279"/>
      <c r="AT190" s="279"/>
      <c r="AU190" s="279"/>
      <c r="AV190" s="279"/>
      <c r="AW190" s="284"/>
      <c r="AX190" s="285"/>
      <c r="AY190" s="285"/>
      <c r="AZ190" s="285"/>
      <c r="BA190" s="285"/>
      <c r="BB190" s="285"/>
      <c r="BC190" s="285"/>
      <c r="BD190" s="285"/>
      <c r="BE190" s="280"/>
      <c r="BF190" s="284"/>
      <c r="BG190" s="285"/>
      <c r="BH190" s="285"/>
      <c r="BI190" s="285"/>
      <c r="BJ190" s="285"/>
      <c r="BK190" s="285"/>
      <c r="BL190" s="285"/>
      <c r="BM190" s="285"/>
      <c r="BN190" s="280"/>
      <c r="BO190" s="279"/>
      <c r="BP190" s="279"/>
      <c r="BQ190" s="279"/>
      <c r="BR190" s="278"/>
      <c r="BS190" s="279"/>
      <c r="BT190" s="279"/>
      <c r="BU190" s="279"/>
      <c r="BV190" s="279"/>
      <c r="BW190" s="279"/>
      <c r="BX190" s="279"/>
      <c r="BY190" s="279"/>
      <c r="BZ190" s="279"/>
      <c r="CA190" s="279"/>
      <c r="CB190" s="279"/>
      <c r="CC190" s="279"/>
      <c r="CD190" s="279"/>
      <c r="CE190" s="279"/>
    </row>
    <row r="191" spans="1:83">
      <c r="A191" s="278"/>
      <c r="B191" s="278"/>
      <c r="C191" s="279"/>
      <c r="D191" s="279"/>
      <c r="E191" s="279"/>
      <c r="F191" s="279"/>
      <c r="G191" s="279"/>
      <c r="H191" s="279"/>
      <c r="I191" s="279"/>
      <c r="J191" s="279"/>
      <c r="K191" s="279"/>
      <c r="L191" s="279"/>
      <c r="M191" s="279"/>
      <c r="N191" s="280"/>
      <c r="O191" s="279"/>
      <c r="P191" s="280"/>
      <c r="Q191" s="279"/>
      <c r="R191" s="279"/>
      <c r="S191" s="279"/>
      <c r="T191" s="279"/>
      <c r="U191" s="280"/>
      <c r="V191" s="279"/>
      <c r="W191" s="279"/>
      <c r="X191" s="279"/>
      <c r="Y191" s="279"/>
      <c r="Z191" s="280"/>
      <c r="AA191" s="279"/>
      <c r="AB191" s="279"/>
      <c r="AC191" s="279"/>
      <c r="AD191" s="279"/>
      <c r="AE191" s="279"/>
      <c r="AF191" s="279"/>
      <c r="AG191" s="279"/>
      <c r="AH191" s="279"/>
      <c r="AI191" s="279"/>
      <c r="AJ191" s="279"/>
      <c r="AK191" s="280"/>
      <c r="AL191" s="279"/>
      <c r="AM191" s="279"/>
      <c r="AN191" s="280"/>
      <c r="AO191" s="279"/>
      <c r="AP191" s="280"/>
      <c r="AQ191" s="279"/>
      <c r="AR191" s="285"/>
      <c r="AS191" s="279"/>
      <c r="AT191" s="279"/>
      <c r="AU191" s="279"/>
      <c r="AV191" s="279"/>
      <c r="AW191" s="284"/>
      <c r="AX191" s="285"/>
      <c r="AY191" s="285"/>
      <c r="AZ191" s="285"/>
      <c r="BA191" s="285"/>
      <c r="BB191" s="285"/>
      <c r="BC191" s="285"/>
      <c r="BD191" s="285"/>
      <c r="BE191" s="280"/>
      <c r="BF191" s="284"/>
      <c r="BG191" s="285"/>
      <c r="BH191" s="285"/>
      <c r="BI191" s="285"/>
      <c r="BJ191" s="285"/>
      <c r="BK191" s="285"/>
      <c r="BL191" s="285"/>
      <c r="BM191" s="285"/>
      <c r="BN191" s="280"/>
      <c r="BO191" s="279"/>
      <c r="BP191" s="279"/>
      <c r="BQ191" s="279"/>
      <c r="BR191" s="278"/>
      <c r="BS191" s="279"/>
      <c r="BT191" s="279"/>
      <c r="BU191" s="279"/>
      <c r="BV191" s="279"/>
      <c r="BW191" s="279"/>
      <c r="BX191" s="279"/>
      <c r="BY191" s="279"/>
      <c r="BZ191" s="279"/>
      <c r="CA191" s="279"/>
      <c r="CB191" s="279"/>
      <c r="CC191" s="279"/>
      <c r="CD191" s="279"/>
      <c r="CE191" s="279"/>
    </row>
    <row r="192" spans="1:83">
      <c r="A192" s="278"/>
      <c r="B192" s="278"/>
      <c r="C192" s="279"/>
      <c r="D192" s="279"/>
      <c r="E192" s="279"/>
      <c r="F192" s="279"/>
      <c r="G192" s="279"/>
      <c r="H192" s="279"/>
      <c r="I192" s="279"/>
      <c r="J192" s="279"/>
      <c r="K192" s="279"/>
      <c r="L192" s="279"/>
      <c r="M192" s="279"/>
      <c r="N192" s="280"/>
      <c r="O192" s="279"/>
      <c r="P192" s="280"/>
      <c r="Q192" s="279"/>
      <c r="R192" s="279"/>
      <c r="S192" s="279"/>
      <c r="T192" s="279"/>
      <c r="U192" s="280"/>
      <c r="V192" s="279"/>
      <c r="W192" s="279"/>
      <c r="X192" s="279"/>
      <c r="Y192" s="279"/>
      <c r="Z192" s="280"/>
      <c r="AA192" s="279"/>
      <c r="AB192" s="279"/>
      <c r="AC192" s="279"/>
      <c r="AD192" s="279"/>
      <c r="AE192" s="279"/>
      <c r="AF192" s="279"/>
      <c r="AG192" s="279"/>
      <c r="AH192" s="279"/>
      <c r="AI192" s="279"/>
      <c r="AJ192" s="279"/>
      <c r="AK192" s="280"/>
      <c r="AL192" s="279"/>
      <c r="AM192" s="279"/>
      <c r="AN192" s="280"/>
      <c r="AO192" s="279"/>
      <c r="AP192" s="280"/>
      <c r="AQ192" s="279"/>
      <c r="AR192" s="285"/>
      <c r="AS192" s="279"/>
      <c r="AT192" s="279"/>
      <c r="AU192" s="279"/>
      <c r="AV192" s="279"/>
      <c r="AW192" s="284"/>
      <c r="AX192" s="285"/>
      <c r="AY192" s="285"/>
      <c r="AZ192" s="285"/>
      <c r="BA192" s="285"/>
      <c r="BB192" s="285"/>
      <c r="BC192" s="285"/>
      <c r="BD192" s="285"/>
      <c r="BE192" s="280"/>
      <c r="BF192" s="284"/>
      <c r="BG192" s="285"/>
      <c r="BH192" s="285"/>
      <c r="BI192" s="285"/>
      <c r="BJ192" s="285"/>
      <c r="BK192" s="285"/>
      <c r="BL192" s="285"/>
      <c r="BM192" s="285"/>
      <c r="BN192" s="280"/>
      <c r="BO192" s="279"/>
      <c r="BP192" s="279"/>
      <c r="BQ192" s="279"/>
      <c r="BR192" s="278"/>
      <c r="BS192" s="279"/>
      <c r="BT192" s="279"/>
      <c r="BU192" s="279"/>
      <c r="BV192" s="279"/>
      <c r="BW192" s="279"/>
      <c r="BX192" s="279"/>
      <c r="BY192" s="279"/>
      <c r="BZ192" s="279"/>
      <c r="CA192" s="279"/>
      <c r="CB192" s="279"/>
      <c r="CC192" s="279"/>
      <c r="CD192" s="279"/>
      <c r="CE192" s="279"/>
    </row>
  </sheetData>
  <autoFilter ref="A10:CN89">
    <filterColumn colId="19"/>
    <filterColumn colId="89"/>
    <sortState ref="A11:CN89">
      <sortCondition descending="1" ref="AQ11:AQ89"/>
      <sortCondition descending="1" ref="AS11:AS89"/>
      <sortCondition ref="A11:A89"/>
    </sortState>
  </autoFilter>
  <sortState ref="A11:CN75">
    <sortCondition descending="1" ref="AQ11:AQ75"/>
    <sortCondition descending="1" ref="AS11:AS75"/>
    <sortCondition ref="A11:A75" customList="ML,AAA,AA,A,S A"/>
    <sortCondition ref="B11:B75" customList="C,C-b,1B,1B-b,2B,2B-b,3B,3B-b,SS,SS-b,IF-b,CI,MI,LF,LF-b,CF,CF-b,RF,RF-b,OF,OF-b,DH"/>
    <sortCondition descending="1" ref="BT11:BT75"/>
    <sortCondition descending="1" ref="V11:V75"/>
    <sortCondition descending="1" ref="X11:X75"/>
    <sortCondition ref="G11:G75"/>
  </sortState>
  <phoneticPr fontId="2" type="noConversion"/>
  <conditionalFormatting sqref="M11:N192">
    <cfRule type="expression" dxfId="105" priority="2">
      <formula>IF(M11&lt;&gt;"1 star",1,0)</formula>
    </cfRule>
  </conditionalFormatting>
  <conditionalFormatting sqref="A11:XFD192">
    <cfRule type="expression" dxfId="104" priority="3">
      <formula>IF(MOD(ROW(),2)=1,1,0)</formula>
    </cfRule>
  </conditionalFormatting>
  <conditionalFormatting sqref="A11:CD192">
    <cfRule type="expression" dxfId="103" priority="5">
      <formula>IF(AND($CB11&lt;12,$CC11&lt;10,$CD11&lt;10),1,0)</formula>
    </cfRule>
    <cfRule type="expression" dxfId="102" priority="9">
      <formula>IF(AND($CB11&lt;15,$CC11&lt;12,$CD11&lt;12),1,0)</formula>
    </cfRule>
    <cfRule type="expression" dxfId="101" priority="10">
      <formula>IF(AND($CB11&lt;18,$CC11&lt;14,$CD11&lt;14),1,0)</formula>
    </cfRule>
  </conditionalFormatting>
  <conditionalFormatting sqref="A75:E76 A78:E78 A85:E85 A81:E83 A87:E88">
    <cfRule type="expression" dxfId="100" priority="20">
      <formula>IF(AND($CB73&lt;12,$CC73&lt;10,$CD73&lt;10),1,0)</formula>
    </cfRule>
    <cfRule type="expression" dxfId="99" priority="21">
      <formula>IF(AND($CB73&lt;15,$CC73&lt;12,$CD73&lt;12),1,0)</formula>
    </cfRule>
    <cfRule type="expression" dxfId="98" priority="22">
      <formula>IF(AND($CB73&lt;18,$CC73&lt;14,$CD73&lt;14),1,0)</formula>
    </cfRule>
  </conditionalFormatting>
  <conditionalFormatting sqref="A73:E73 A76:E76">
    <cfRule type="expression" dxfId="97" priority="43">
      <formula>IF(AND(#REF!&lt;12,#REF!&lt;10,#REF!&lt;10),1,0)</formula>
    </cfRule>
    <cfRule type="expression" dxfId="96" priority="44">
      <formula>IF(AND(#REF!&lt;15,#REF!&lt;12,#REF!&lt;12),1,0)</formula>
    </cfRule>
    <cfRule type="expression" dxfId="95" priority="45">
      <formula>IF(AND(#REF!&lt;18,#REF!&lt;14,#REF!&lt;14),1,0)</formula>
    </cfRule>
  </conditionalFormatting>
  <conditionalFormatting sqref="A80:E80">
    <cfRule type="expression" dxfId="94" priority="56">
      <formula>IF(AND(#REF!&lt;12,#REF!&lt;10,#REF!&lt;10),1,0)</formula>
    </cfRule>
    <cfRule type="expression" dxfId="93" priority="57">
      <formula>IF(AND(#REF!&lt;15,#REF!&lt;12,#REF!&lt;12),1,0)</formula>
    </cfRule>
    <cfRule type="expression" dxfId="92" priority="58">
      <formula>IF(AND(#REF!&lt;18,#REF!&lt;14,#REF!&lt;14),1,0)</formula>
    </cfRule>
  </conditionalFormatting>
  <pageMargins left="0.75" right="0.75" top="1" bottom="1" header="0.5" footer="0.5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published="0" codeName="Sheet6" filterMode="1" enableFormatConditionsCalculation="0">
    <tabColor theme="9"/>
  </sheetPr>
  <dimension ref="A1:BQ199"/>
  <sheetViews>
    <sheetView zoomScale="85" zoomScaleNormal="85" workbookViewId="0">
      <pane xSplit="20" ySplit="10" topLeftCell="BD11" activePane="bottomRight" state="frozenSplit"/>
      <selection pane="topRight" activeCell="H1" sqref="H1"/>
      <selection pane="bottomLeft" activeCell="A11" sqref="A11"/>
      <selection pane="bottomRight" activeCell="A22" sqref="A22"/>
    </sheetView>
  </sheetViews>
  <sheetFormatPr defaultColWidth="11.42578125" defaultRowHeight="15"/>
  <cols>
    <col min="1" max="1" width="8.42578125" bestFit="1" customWidth="1"/>
    <col min="2" max="2" width="7.5703125" bestFit="1" customWidth="1"/>
    <col min="3" max="3" width="6.5703125" bestFit="1" customWidth="1"/>
    <col min="4" max="4" width="5.85546875" bestFit="1" customWidth="1"/>
    <col min="5" max="5" width="29" customWidth="1"/>
    <col min="6" max="6" width="6.5703125" bestFit="1" customWidth="1"/>
    <col min="7" max="7" width="6.140625" bestFit="1" customWidth="1"/>
    <col min="8" max="8" width="7" bestFit="1" customWidth="1"/>
    <col min="9" max="9" width="5" bestFit="1" customWidth="1"/>
    <col min="10" max="10" width="4.85546875" style="3" bestFit="1" customWidth="1"/>
    <col min="11" max="11" width="7.5703125" bestFit="1" customWidth="1"/>
    <col min="12" max="12" width="7.140625" bestFit="1" customWidth="1"/>
    <col min="13" max="13" width="9.7109375" bestFit="1" customWidth="1"/>
    <col min="14" max="14" width="9.7109375" style="3" bestFit="1" customWidth="1"/>
    <col min="15" max="15" width="7.140625" bestFit="1" customWidth="1"/>
    <col min="16" max="16" width="8" bestFit="1" customWidth="1"/>
    <col min="17" max="17" width="7.5703125" style="3" bestFit="1" customWidth="1"/>
    <col min="18" max="18" width="8.7109375" bestFit="1" customWidth="1"/>
    <col min="19" max="19" width="9.5703125" bestFit="1" customWidth="1"/>
    <col min="20" max="20" width="9" style="3" bestFit="1" customWidth="1"/>
    <col min="21" max="43" width="6.7109375" customWidth="1"/>
    <col min="44" max="44" width="6.7109375" style="3" customWidth="1"/>
    <col min="45" max="45" width="10.42578125" bestFit="1" customWidth="1"/>
    <col min="46" max="46" width="7.5703125" bestFit="1" customWidth="1"/>
    <col min="47" max="47" width="7" style="3" bestFit="1" customWidth="1"/>
    <col min="48" max="48" width="12.5703125" bestFit="1" customWidth="1"/>
    <col min="49" max="49" width="9.5703125" style="3" bestFit="1" customWidth="1"/>
    <col min="50" max="50" width="11.7109375" bestFit="1" customWidth="1"/>
    <col min="51" max="51" width="10" style="5" bestFit="1" customWidth="1"/>
    <col min="52" max="52" width="11.42578125" style="5" bestFit="1" customWidth="1"/>
    <col min="53" max="53" width="10" style="5" bestFit="1" customWidth="1"/>
    <col min="54" max="54" width="6.85546875" bestFit="1" customWidth="1"/>
    <col min="55" max="55" width="9.42578125" style="5" bestFit="1" customWidth="1"/>
    <col min="56" max="56" width="9.7109375" style="5" bestFit="1" customWidth="1"/>
    <col min="57" max="57" width="6.140625" style="5" bestFit="1" customWidth="1"/>
    <col min="58" max="58" width="7" bestFit="1" customWidth="1"/>
    <col min="59" max="59" width="12.85546875" style="27" bestFit="1" customWidth="1"/>
    <col min="60" max="60" width="7.7109375" bestFit="1" customWidth="1"/>
    <col min="61" max="61" width="9.5703125" bestFit="1" customWidth="1"/>
    <col min="62" max="62" width="10.5703125" bestFit="1" customWidth="1"/>
    <col min="63" max="63" width="8.7109375" bestFit="1" customWidth="1"/>
    <col min="64" max="64" width="9.5703125" bestFit="1" customWidth="1"/>
    <col min="65" max="65" width="8.85546875" bestFit="1" customWidth="1"/>
    <col min="66" max="66" width="4.28515625" bestFit="1" customWidth="1"/>
  </cols>
  <sheetData>
    <row r="1" spans="1:69" s="95" customFormat="1">
      <c r="A1" s="5"/>
      <c r="B1" s="5" t="s">
        <v>146</v>
      </c>
      <c r="C1" s="5" t="s">
        <v>101</v>
      </c>
      <c r="D1" s="5"/>
      <c r="E1" s="5" t="s">
        <v>218</v>
      </c>
      <c r="F1" s="5" t="s">
        <v>217</v>
      </c>
      <c r="G1" s="5" t="s">
        <v>219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72"/>
      <c r="BH1" s="5"/>
      <c r="BI1" s="5"/>
      <c r="BJ1" s="5"/>
      <c r="BK1" s="5"/>
      <c r="BL1" s="5"/>
      <c r="BM1" s="5"/>
      <c r="BN1" s="5"/>
      <c r="BO1" s="5"/>
      <c r="BP1" s="5"/>
      <c r="BQ1" s="5"/>
    </row>
    <row r="2" spans="1:69" s="5" customFormat="1">
      <c r="A2" s="5" t="s">
        <v>207</v>
      </c>
      <c r="B2" s="239">
        <f>COUNTIF($A$11:$A$208,A2)</f>
        <v>12</v>
      </c>
      <c r="C2" s="95">
        <f>VLOOKUP($A2,CTBat!$A$2:$B$8,2,FALSE)</f>
        <v>15</v>
      </c>
      <c r="D2" s="5">
        <v>25</v>
      </c>
      <c r="E2" s="114">
        <f>B2/$D2</f>
        <v>0.48</v>
      </c>
      <c r="F2" s="115">
        <f>C2/$D2</f>
        <v>0.6</v>
      </c>
      <c r="G2" s="114">
        <f>(B2+C2)/$D2</f>
        <v>1.08</v>
      </c>
      <c r="BG2" s="72"/>
    </row>
    <row r="3" spans="1:69" s="5" customFormat="1">
      <c r="A3" s="5" t="s">
        <v>208</v>
      </c>
      <c r="B3" s="239">
        <f>COUNTIF($A$11:$A$208,A3)</f>
        <v>4</v>
      </c>
      <c r="C3" s="95">
        <f>VLOOKUP($A3,CTBat!$A$2:$B$8,2,FALSE)</f>
        <v>4</v>
      </c>
      <c r="D3" s="5">
        <v>25</v>
      </c>
      <c r="E3" s="114">
        <f t="shared" ref="E3:E6" si="0">B3/$D3</f>
        <v>0.16</v>
      </c>
      <c r="F3" s="115">
        <f>C3/$D3</f>
        <v>0.16</v>
      </c>
      <c r="G3" s="114">
        <f>(B3+C3)/$D3</f>
        <v>0.32</v>
      </c>
      <c r="BG3" s="72"/>
    </row>
    <row r="4" spans="1:69" s="5" customFormat="1">
      <c r="A4" s="5" t="s">
        <v>209</v>
      </c>
      <c r="B4" s="239">
        <f>COUNTIF($A$11:$A$208,A4)</f>
        <v>5</v>
      </c>
      <c r="C4" s="95">
        <f>VLOOKUP($A4,CTBat!$A$2:$B$8,2,FALSE)</f>
        <v>5</v>
      </c>
      <c r="D4" s="5">
        <v>25</v>
      </c>
      <c r="E4" s="114">
        <f t="shared" si="0"/>
        <v>0.2</v>
      </c>
      <c r="F4" s="115">
        <f>C4/$D4</f>
        <v>0.2</v>
      </c>
      <c r="G4" s="114">
        <f>(B4+C4)/$D4</f>
        <v>0.4</v>
      </c>
      <c r="BG4" s="72"/>
    </row>
    <row r="5" spans="1:69" s="5" customFormat="1">
      <c r="A5" s="5" t="s">
        <v>210</v>
      </c>
      <c r="B5" s="239">
        <f>COUNTIF($A$11:$A$208,A5)</f>
        <v>2</v>
      </c>
      <c r="C5" s="95">
        <f>VLOOKUP($A5,CTBat!$A$2:$B$8,2,FALSE)</f>
        <v>4</v>
      </c>
      <c r="D5" s="5">
        <v>25</v>
      </c>
      <c r="E5" s="114">
        <f t="shared" si="0"/>
        <v>0.08</v>
      </c>
      <c r="F5" s="115">
        <f>C5/$D5</f>
        <v>0.16</v>
      </c>
      <c r="G5" s="114">
        <f>(B5+C5)/$D5</f>
        <v>0.24</v>
      </c>
      <c r="BG5" s="72"/>
    </row>
    <row r="6" spans="1:69" s="5" customFormat="1">
      <c r="A6" s="239" t="s">
        <v>316</v>
      </c>
      <c r="B6" s="5">
        <f>COUNTIF($A$11:$A$208,A6)</f>
        <v>1</v>
      </c>
      <c r="C6" s="95">
        <f>VLOOKUP($A6,CTBat!$A$2:$B$8,2,FALSE)</f>
        <v>0</v>
      </c>
      <c r="D6" s="5">
        <v>35</v>
      </c>
      <c r="E6" s="114">
        <f t="shared" si="0"/>
        <v>2.8571428571428571E-2</v>
      </c>
      <c r="F6" s="115">
        <f>C6/$D6</f>
        <v>0</v>
      </c>
      <c r="G6" s="114">
        <f>(B6+C6)/$D6</f>
        <v>2.8571428571428571E-2</v>
      </c>
      <c r="BG6" s="72"/>
    </row>
    <row r="7" spans="1:69" s="95" customFormat="1">
      <c r="A7" s="5" t="s">
        <v>215</v>
      </c>
      <c r="B7" s="5">
        <f>COUNTBLANK($A$11:$A$208)-COUNTBLANK($I$11:$I$208)</f>
        <v>36</v>
      </c>
      <c r="C7" s="95">
        <f>VLOOKUP($A7,CTBat!$A$2:$B$8,2,FALSE)</f>
        <v>36</v>
      </c>
      <c r="D7" s="115"/>
      <c r="E7" s="114"/>
      <c r="F7" s="115"/>
      <c r="G7" s="11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>
        <f>COUNT(U11,W11,Y11,AA11,AC11,AE11,AG11,AI11,AK11,AM11,AO11,AQ11)</f>
        <v>5</v>
      </c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72"/>
      <c r="BH7" s="5"/>
      <c r="BI7" s="5"/>
      <c r="BJ7" s="5"/>
      <c r="BK7" s="5"/>
      <c r="BL7" s="5"/>
      <c r="BM7" s="5"/>
      <c r="BN7" s="5"/>
      <c r="BO7" s="5"/>
      <c r="BP7" s="5"/>
      <c r="BQ7" s="5"/>
    </row>
    <row r="8" spans="1:69" s="95" customFormat="1">
      <c r="A8" s="5" t="s">
        <v>216</v>
      </c>
      <c r="B8" s="5">
        <f>SUM(B2:B7)</f>
        <v>60</v>
      </c>
      <c r="C8" s="5">
        <f>SUM(C2:C7)</f>
        <v>64</v>
      </c>
      <c r="D8" s="5">
        <f>SUM(D2:D7)</f>
        <v>135</v>
      </c>
      <c r="E8" s="114">
        <f t="shared" ref="E8" si="1">B8/$D8</f>
        <v>0.44444444444444442</v>
      </c>
      <c r="F8" s="115">
        <f>C8/$D8</f>
        <v>0.47407407407407409</v>
      </c>
      <c r="G8" s="114">
        <f>(B8+C8)/$D8</f>
        <v>0.91851851851851851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72"/>
      <c r="BH8" s="5"/>
      <c r="BI8" s="5"/>
      <c r="BJ8" s="5"/>
      <c r="BK8" s="5"/>
      <c r="BL8" s="5"/>
      <c r="BM8" s="5"/>
      <c r="BN8" s="5"/>
      <c r="BO8" s="5"/>
      <c r="BP8" s="5"/>
      <c r="BQ8" s="5"/>
    </row>
    <row r="9" spans="1:69" s="5" customFormat="1">
      <c r="F9" s="214"/>
      <c r="BG9" s="72"/>
    </row>
    <row r="10" spans="1:69" s="1" customFormat="1">
      <c r="A10" s="1" t="s">
        <v>206</v>
      </c>
      <c r="B10" s="1" t="s">
        <v>211</v>
      </c>
      <c r="C10" s="1" t="s">
        <v>114</v>
      </c>
      <c r="D10" s="1" t="s">
        <v>55</v>
      </c>
      <c r="E10" s="1" t="s">
        <v>20</v>
      </c>
      <c r="F10" s="1" t="s">
        <v>374</v>
      </c>
      <c r="G10" s="1" t="s">
        <v>206</v>
      </c>
      <c r="H10" s="1" t="s">
        <v>91</v>
      </c>
      <c r="I10" s="1" t="s">
        <v>101</v>
      </c>
      <c r="J10" s="2" t="s">
        <v>102</v>
      </c>
      <c r="K10" s="1" t="s">
        <v>21</v>
      </c>
      <c r="L10" s="1" t="s">
        <v>22</v>
      </c>
      <c r="M10" s="1" t="s">
        <v>23</v>
      </c>
      <c r="N10" s="2" t="s">
        <v>24</v>
      </c>
      <c r="O10" s="1" t="s">
        <v>56</v>
      </c>
      <c r="P10" s="1" t="s">
        <v>57</v>
      </c>
      <c r="Q10" s="2" t="s">
        <v>25</v>
      </c>
      <c r="R10" s="1" t="s">
        <v>58</v>
      </c>
      <c r="S10" s="1" t="s">
        <v>59</v>
      </c>
      <c r="T10" s="2" t="s">
        <v>30</v>
      </c>
      <c r="U10" s="1" t="s">
        <v>60</v>
      </c>
      <c r="V10" s="1" t="s">
        <v>61</v>
      </c>
      <c r="W10" s="1" t="s">
        <v>62</v>
      </c>
      <c r="X10" s="1" t="s">
        <v>63</v>
      </c>
      <c r="Y10" s="1" t="s">
        <v>64</v>
      </c>
      <c r="Z10" s="1" t="s">
        <v>65</v>
      </c>
      <c r="AA10" s="1" t="s">
        <v>66</v>
      </c>
      <c r="AB10" s="1" t="s">
        <v>67</v>
      </c>
      <c r="AC10" s="1" t="s">
        <v>68</v>
      </c>
      <c r="AD10" s="1" t="s">
        <v>69</v>
      </c>
      <c r="AE10" s="1" t="s">
        <v>108</v>
      </c>
      <c r="AF10" s="1" t="s">
        <v>70</v>
      </c>
      <c r="AG10" s="1" t="s">
        <v>71</v>
      </c>
      <c r="AH10" s="1" t="s">
        <v>72</v>
      </c>
      <c r="AI10" s="1" t="s">
        <v>73</v>
      </c>
      <c r="AJ10" s="1" t="s">
        <v>74</v>
      </c>
      <c r="AK10" s="1" t="s">
        <v>75</v>
      </c>
      <c r="AL10" s="1" t="s">
        <v>76</v>
      </c>
      <c r="AM10" s="1" t="s">
        <v>77</v>
      </c>
      <c r="AN10" s="1" t="s">
        <v>78</v>
      </c>
      <c r="AO10" s="1" t="s">
        <v>79</v>
      </c>
      <c r="AP10" s="1" t="s">
        <v>80</v>
      </c>
      <c r="AQ10" s="1" t="s">
        <v>81</v>
      </c>
      <c r="AR10" s="2" t="s">
        <v>82</v>
      </c>
      <c r="AS10" s="1" t="s">
        <v>83</v>
      </c>
      <c r="AT10" s="1" t="s">
        <v>84</v>
      </c>
      <c r="AU10" s="2" t="s">
        <v>85</v>
      </c>
      <c r="AV10" s="1" t="s">
        <v>38</v>
      </c>
      <c r="AW10" s="2" t="s">
        <v>39</v>
      </c>
      <c r="AX10" s="1" t="s">
        <v>112</v>
      </c>
      <c r="AY10" s="4" t="s">
        <v>87</v>
      </c>
      <c r="AZ10" s="4" t="s">
        <v>113</v>
      </c>
      <c r="BA10" s="4" t="s">
        <v>87</v>
      </c>
      <c r="BB10" s="4" t="s">
        <v>86</v>
      </c>
      <c r="BC10" s="4" t="s">
        <v>89</v>
      </c>
      <c r="BD10" s="4" t="s">
        <v>189</v>
      </c>
      <c r="BE10" s="4" t="s">
        <v>202</v>
      </c>
      <c r="BF10" s="1" t="s">
        <v>115</v>
      </c>
      <c r="BG10" s="119" t="s">
        <v>237</v>
      </c>
      <c r="BH10" s="1" t="s">
        <v>236</v>
      </c>
      <c r="BI10" s="1" t="s">
        <v>357</v>
      </c>
      <c r="BJ10" s="1" t="s">
        <v>358</v>
      </c>
      <c r="BK10" s="1" t="s">
        <v>368</v>
      </c>
      <c r="BL10" s="1" t="s">
        <v>369</v>
      </c>
      <c r="BM10" s="1" t="s">
        <v>362</v>
      </c>
      <c r="BN10" s="1" t="s">
        <v>367</v>
      </c>
    </row>
    <row r="11" spans="1:69">
      <c r="A11" s="95" t="str">
        <f>IF(ISERROR(VLOOKUP(E11,CON!$C$53:$C$70,1,FALSE)),IF(ISERROR(VLOOKUP(E11,'PSP-AAA'!$C$51:$C$72,1,FALSE)),IF(ISERROR(VLOOKUP(E11,'NH-AA'!$C$51:$C$72,1,FALSE)),IF(ISERROR(VLOOKUP(E11,'CRG-A'!$C$51:$C$72,1,FALSE)),IF(ISERROR(VLOOKUP(E11,'PC-S A'!$C$51:$C$72,1,FALSE)),"","S A"),"A"),"AA"),"AAA"),"ML")</f>
        <v>ML</v>
      </c>
      <c r="C11" t="str">
        <f t="shared" ref="C11:C42" si="2">IF(OR(OR(M11="Very High",M11="High"),AND(OR(M11="Very High",M11="High",M11="Normal"),OR(N11="Very High",N11="High"))),"K","T")</f>
        <v>K</v>
      </c>
      <c r="D11" s="27" t="s">
        <v>108</v>
      </c>
      <c r="E11" s="27" t="s">
        <v>4</v>
      </c>
      <c r="F11" s="27" t="s">
        <v>25</v>
      </c>
      <c r="G11" s="27" t="s">
        <v>207</v>
      </c>
      <c r="H11" s="27">
        <v>25</v>
      </c>
      <c r="I11" s="27" t="s">
        <v>104</v>
      </c>
      <c r="J11" s="28" t="s">
        <v>104</v>
      </c>
      <c r="K11" s="27" t="s">
        <v>44</v>
      </c>
      <c r="L11" s="27" t="s">
        <v>44</v>
      </c>
      <c r="M11" s="27" t="s">
        <v>223</v>
      </c>
      <c r="N11" s="28" t="s">
        <v>224</v>
      </c>
      <c r="O11" s="27">
        <v>8</v>
      </c>
      <c r="P11" s="27">
        <v>7</v>
      </c>
      <c r="Q11" s="28">
        <v>8</v>
      </c>
      <c r="R11" s="27">
        <v>8</v>
      </c>
      <c r="S11" s="27">
        <v>7</v>
      </c>
      <c r="T11" s="28">
        <v>9</v>
      </c>
      <c r="U11" s="27">
        <v>8</v>
      </c>
      <c r="V11" s="27">
        <v>8</v>
      </c>
      <c r="W11" s="27">
        <v>8</v>
      </c>
      <c r="X11" s="27">
        <v>8</v>
      </c>
      <c r="Y11" s="27" t="s">
        <v>41</v>
      </c>
      <c r="Z11" s="27" t="s">
        <v>41</v>
      </c>
      <c r="AA11" s="27">
        <v>8</v>
      </c>
      <c r="AB11" s="27">
        <v>8</v>
      </c>
      <c r="AC11" s="27">
        <v>8</v>
      </c>
      <c r="AD11" s="27">
        <v>8</v>
      </c>
      <c r="AE11" s="27" t="s">
        <v>41</v>
      </c>
      <c r="AF11" s="27" t="s">
        <v>41</v>
      </c>
      <c r="AG11" s="27" t="s">
        <v>41</v>
      </c>
      <c r="AH11" s="27" t="s">
        <v>41</v>
      </c>
      <c r="AI11" s="27" t="s">
        <v>41</v>
      </c>
      <c r="AJ11" s="27" t="s">
        <v>41</v>
      </c>
      <c r="AK11" s="27">
        <v>2</v>
      </c>
      <c r="AL11" s="27">
        <v>2</v>
      </c>
      <c r="AM11" s="27" t="s">
        <v>41</v>
      </c>
      <c r="AN11" s="27" t="s">
        <v>41</v>
      </c>
      <c r="AO11" s="27" t="s">
        <v>41</v>
      </c>
      <c r="AP11" s="27" t="s">
        <v>41</v>
      </c>
      <c r="AQ11" s="27" t="s">
        <v>41</v>
      </c>
      <c r="AR11" s="28" t="s">
        <v>41</v>
      </c>
      <c r="AS11" s="27" t="s">
        <v>5</v>
      </c>
      <c r="AT11" s="27">
        <v>8</v>
      </c>
      <c r="AU11" s="82">
        <v>0.65</v>
      </c>
      <c r="AV11" s="86">
        <v>9200000</v>
      </c>
      <c r="AW11" s="28">
        <v>4</v>
      </c>
      <c r="AX11" s="29">
        <f t="shared" ref="AX11:AX42" si="3">AVERAGE(O11:Q11)+0.25*MAX(0,(COUNT(U11,W11,Y11,AA11,AC11,AE11,AG11,AI11,AK11,AM11,AO11,AQ11)-3))+IF(AU11&gt;0.55,0.25,0)+IF(MAX(U11,W11,Y11,AA11,AC11,AE11,AG11,AI11,AK11,AM11,AO11,AQ11)&gt;5,0.25,0)</f>
        <v>8.6666666666666679</v>
      </c>
      <c r="AY11" s="30" t="str">
        <f t="shared" ref="AY11:AY42" si="4">IF(AX11&gt;9,"SuperStar",IF(AX11&gt;8,"Star",IF(AX11&gt;6.5,"GoodReg",IF(AX11&gt;5,"Reg",IF(AX11&gt;4,"Bench","Minors")))))</f>
        <v>Star</v>
      </c>
      <c r="AZ11" s="30">
        <f t="shared" ref="AZ11:AZ42" si="5">AVERAGE(R11:T11)+0.25*MAX(0,(COUNT(V11,X11,Z11,AB11,AD11,AF11,AH11,AJ11,AL11,AN11,AP11,AR11)-3))+IF(AU11&gt;0.55,0.25,0)+IF(MAX(V11,X11,Z11,AB11,AD11,AF11,AH11,AJ11,AL11,AN11,AP11,AR11)&gt;5,0.25,0)</f>
        <v>9</v>
      </c>
      <c r="BA11" s="30" t="str">
        <f t="shared" ref="BA11:BA42" si="6">IF(AZ11&gt;9,"SuperStar",IF(AZ11&gt;8,"Star",IF(AZ11&gt;6.5,"GoodReg",IF(AZ11&gt;5,"Reg",IF(AZ11&gt;4,"Bench","Minors")))))</f>
        <v>Star</v>
      </c>
      <c r="BB11" s="30">
        <f t="shared" ref="BB11:BB42" si="7">MIN(AX11+(MAX(0,25-S11))^1.5,AZ11)</f>
        <v>9</v>
      </c>
      <c r="BC11" s="30" t="str">
        <f t="shared" ref="BC11:BC42" si="8">IF(BB11&gt;9,"SuperStar",IF(BB11&gt;8,"Star",IF(BB11&gt;6.5,"GoodReg",IF(BB11&gt;5,"Reg",IF(BB11&gt;4,"Bench","Minors")))))</f>
        <v>Star</v>
      </c>
      <c r="BD11" s="107">
        <f t="shared" ref="BD11:BD42" si="9">COUNT(U11:AR11)/2</f>
        <v>5</v>
      </c>
      <c r="BE11" s="108">
        <f t="shared" ref="BE11:BE42" si="10">COUNTIF(U11:AR11,"&gt;5")/2</f>
        <v>4</v>
      </c>
      <c r="BF11" s="27" t="str">
        <f t="shared" ref="BF11:BF42" si="11">IF(AW11=1,"Yes","")</f>
        <v/>
      </c>
      <c r="BG11" s="27" t="str">
        <f t="shared" ref="BG11:BG42" si="12">IF(A11="ML","There",IF(AVERAGE($R11:$T11)&gt;=6,"Likely",IF(AVERAGE($R11:$T11)&gt;=4,"Possible","Unlikely")))</f>
        <v>There</v>
      </c>
      <c r="BH11" t="str">
        <f t="shared" ref="BH11:BH42" si="13">IF(AVERAGE(O11:Q11)&gt;=5.5,"ML",IF(AVERAGE(O11:Q11)&gt;=4.5,"AAA",IF(AVERAGE(O11:Q11)&gt;=4,"AA",IF(AVERAGE(O11:Q11)&gt;=3.5,"A","SS-A"))))</f>
        <v>ML</v>
      </c>
      <c r="BI11">
        <f t="shared" ref="BI11:BI42" si="14">SUM(O11:Q11)</f>
        <v>23</v>
      </c>
      <c r="BJ11">
        <f t="shared" ref="BJ11:BJ42" si="15">SUM(R11:T11)</f>
        <v>24</v>
      </c>
      <c r="BK11">
        <f t="shared" ref="BK11:BK42" si="16">O11-R11</f>
        <v>0</v>
      </c>
      <c r="BL11">
        <f t="shared" ref="BL11:BL42" si="17">P11-S11</f>
        <v>0</v>
      </c>
      <c r="BM11">
        <f>Q11-T11</f>
        <v>-1</v>
      </c>
      <c r="BN11">
        <f t="shared" ref="BN11:BN42" si="18">SUM(BK11:BM11)</f>
        <v>-1</v>
      </c>
    </row>
    <row r="12" spans="1:69">
      <c r="A12" s="95" t="str">
        <f>IF(ISERROR(VLOOKUP(E12,CON!$C$53:$C$70,1,FALSE)),IF(ISERROR(VLOOKUP(E12,'PSP-AAA'!$C$51:$C$72,1,FALSE)),IF(ISERROR(VLOOKUP(E12,'NH-AA'!$C$51:$C$72,1,FALSE)),IF(ISERROR(VLOOKUP(E12,'CRG-A'!$C$51:$C$72,1,FALSE)),IF(ISERROR(VLOOKUP(E12,'PC-S A'!$C$51:$C$72,1,FALSE)),"","S A"),"A"),"AA"),"AAA"),"ML")</f>
        <v>ML</v>
      </c>
      <c r="C12" t="str">
        <f t="shared" si="2"/>
        <v>K</v>
      </c>
      <c r="D12" s="27" t="s">
        <v>107</v>
      </c>
      <c r="E12" s="27" t="s">
        <v>220</v>
      </c>
      <c r="F12" s="27" t="s">
        <v>25</v>
      </c>
      <c r="G12" s="27" t="s">
        <v>207</v>
      </c>
      <c r="H12" s="27">
        <v>24</v>
      </c>
      <c r="I12" s="27" t="s">
        <v>104</v>
      </c>
      <c r="J12" s="28" t="s">
        <v>104</v>
      </c>
      <c r="K12" s="27" t="s">
        <v>42</v>
      </c>
      <c r="L12" s="27" t="s">
        <v>48</v>
      </c>
      <c r="M12" s="27" t="s">
        <v>223</v>
      </c>
      <c r="N12" s="28" t="s">
        <v>223</v>
      </c>
      <c r="O12" s="27">
        <v>9</v>
      </c>
      <c r="P12" s="27">
        <v>6</v>
      </c>
      <c r="Q12" s="28">
        <v>5</v>
      </c>
      <c r="R12" s="27">
        <v>9</v>
      </c>
      <c r="S12" s="27">
        <v>6</v>
      </c>
      <c r="T12" s="28">
        <v>5</v>
      </c>
      <c r="U12" s="27">
        <v>8</v>
      </c>
      <c r="V12" s="27">
        <v>8</v>
      </c>
      <c r="W12" s="27">
        <v>3</v>
      </c>
      <c r="X12" s="27">
        <v>3</v>
      </c>
      <c r="Y12" s="27" t="s">
        <v>41</v>
      </c>
      <c r="Z12" s="27" t="s">
        <v>41</v>
      </c>
      <c r="AA12" s="27">
        <v>5</v>
      </c>
      <c r="AB12" s="27">
        <v>5</v>
      </c>
      <c r="AC12" s="27">
        <v>6</v>
      </c>
      <c r="AD12" s="27">
        <v>6</v>
      </c>
      <c r="AE12" s="27" t="s">
        <v>41</v>
      </c>
      <c r="AF12" s="27" t="s">
        <v>41</v>
      </c>
      <c r="AG12" s="27" t="s">
        <v>41</v>
      </c>
      <c r="AH12" s="27" t="s">
        <v>41</v>
      </c>
      <c r="AI12" s="27" t="s">
        <v>41</v>
      </c>
      <c r="AJ12" s="27" t="s">
        <v>41</v>
      </c>
      <c r="AK12" s="27" t="s">
        <v>41</v>
      </c>
      <c r="AL12" s="27" t="s">
        <v>41</v>
      </c>
      <c r="AM12" s="27" t="s">
        <v>41</v>
      </c>
      <c r="AN12" s="27" t="s">
        <v>41</v>
      </c>
      <c r="AO12" s="27" t="s">
        <v>41</v>
      </c>
      <c r="AP12" s="27" t="s">
        <v>41</v>
      </c>
      <c r="AQ12" s="27" t="s">
        <v>41</v>
      </c>
      <c r="AR12" s="28" t="s">
        <v>41</v>
      </c>
      <c r="AS12" s="27" t="s">
        <v>402</v>
      </c>
      <c r="AT12" s="27">
        <v>9</v>
      </c>
      <c r="AU12" s="82">
        <v>0.56999999999999995</v>
      </c>
      <c r="AV12" s="86">
        <v>500000</v>
      </c>
      <c r="AW12" s="28" t="s">
        <v>45</v>
      </c>
      <c r="AX12" s="29">
        <f t="shared" si="3"/>
        <v>7.416666666666667</v>
      </c>
      <c r="AY12" s="30" t="str">
        <f t="shared" si="4"/>
        <v>GoodReg</v>
      </c>
      <c r="AZ12" s="30">
        <f t="shared" si="5"/>
        <v>7.416666666666667</v>
      </c>
      <c r="BA12" s="30" t="str">
        <f t="shared" si="6"/>
        <v>GoodReg</v>
      </c>
      <c r="BB12" s="30">
        <f t="shared" si="7"/>
        <v>7.416666666666667</v>
      </c>
      <c r="BC12" s="30" t="str">
        <f t="shared" si="8"/>
        <v>GoodReg</v>
      </c>
      <c r="BD12" s="107">
        <f t="shared" si="9"/>
        <v>4</v>
      </c>
      <c r="BE12" s="108">
        <f t="shared" si="10"/>
        <v>2</v>
      </c>
      <c r="BF12" s="27" t="str">
        <f t="shared" si="11"/>
        <v/>
      </c>
      <c r="BG12" s="27" t="str">
        <f t="shared" si="12"/>
        <v>There</v>
      </c>
      <c r="BH12" t="str">
        <f t="shared" si="13"/>
        <v>ML</v>
      </c>
      <c r="BI12">
        <f t="shared" si="14"/>
        <v>20</v>
      </c>
      <c r="BJ12">
        <f t="shared" si="15"/>
        <v>20</v>
      </c>
      <c r="BK12">
        <f t="shared" si="16"/>
        <v>0</v>
      </c>
      <c r="BL12">
        <f t="shared" si="17"/>
        <v>0</v>
      </c>
      <c r="BM12">
        <f t="shared" ref="BM12:BM42" si="19">Q12-T12</f>
        <v>0</v>
      </c>
      <c r="BN12">
        <f t="shared" si="18"/>
        <v>0</v>
      </c>
    </row>
    <row r="13" spans="1:69">
      <c r="A13" s="95" t="str">
        <f>IF(ISERROR(VLOOKUP(E13,CON!$C$53:$C$70,1,FALSE)),IF(ISERROR(VLOOKUP(E13,'PSP-AAA'!$C$51:$C$72,1,FALSE)),IF(ISERROR(VLOOKUP(E13,'NH-AA'!$C$51:$C$72,1,FALSE)),IF(ISERROR(VLOOKUP(E13,'CRG-A'!$C$51:$C$72,1,FALSE)),IF(ISERROR(VLOOKUP(E13,'PC-S A'!$C$51:$C$72,1,FALSE)),"","S A"),"A"),"AA"),"AAA"),"ML")</f>
        <v>ML</v>
      </c>
      <c r="C13" t="str">
        <f t="shared" si="2"/>
        <v>K</v>
      </c>
      <c r="D13" s="27" t="s">
        <v>108</v>
      </c>
      <c r="E13" s="27" t="s">
        <v>334</v>
      </c>
      <c r="F13" s="27" t="s">
        <v>25</v>
      </c>
      <c r="G13" s="27" t="s">
        <v>207</v>
      </c>
      <c r="H13" s="27">
        <v>26</v>
      </c>
      <c r="I13" s="27" t="s">
        <v>104</v>
      </c>
      <c r="J13" s="28" t="s">
        <v>104</v>
      </c>
      <c r="K13" s="27" t="s">
        <v>40</v>
      </c>
      <c r="L13" s="27" t="s">
        <v>48</v>
      </c>
      <c r="M13" s="27" t="s">
        <v>224</v>
      </c>
      <c r="N13" s="28" t="s">
        <v>224</v>
      </c>
      <c r="O13" s="27">
        <v>8</v>
      </c>
      <c r="P13" s="27">
        <v>6</v>
      </c>
      <c r="Q13" s="28">
        <v>6</v>
      </c>
      <c r="R13" s="27">
        <v>8</v>
      </c>
      <c r="S13" s="27">
        <v>6</v>
      </c>
      <c r="T13" s="28">
        <v>7</v>
      </c>
      <c r="U13" s="27">
        <v>9</v>
      </c>
      <c r="V13" s="27">
        <v>9</v>
      </c>
      <c r="W13" s="27">
        <v>8</v>
      </c>
      <c r="X13" s="27">
        <v>8</v>
      </c>
      <c r="Y13" s="27" t="s">
        <v>41</v>
      </c>
      <c r="Z13" s="27" t="s">
        <v>41</v>
      </c>
      <c r="AA13" s="27">
        <v>8</v>
      </c>
      <c r="AB13" s="27">
        <v>8</v>
      </c>
      <c r="AC13" s="27" t="s">
        <v>41</v>
      </c>
      <c r="AD13" s="27" t="s">
        <v>41</v>
      </c>
      <c r="AE13" s="27">
        <v>5</v>
      </c>
      <c r="AF13" s="27">
        <v>5</v>
      </c>
      <c r="AG13" s="27" t="s">
        <v>41</v>
      </c>
      <c r="AH13" s="27" t="s">
        <v>41</v>
      </c>
      <c r="AI13" s="27" t="s">
        <v>41</v>
      </c>
      <c r="AJ13" s="27" t="s">
        <v>41</v>
      </c>
      <c r="AK13" s="27" t="s">
        <v>41</v>
      </c>
      <c r="AL13" s="27" t="s">
        <v>41</v>
      </c>
      <c r="AM13" s="27" t="s">
        <v>41</v>
      </c>
      <c r="AN13" s="27" t="s">
        <v>41</v>
      </c>
      <c r="AO13" s="27" t="s">
        <v>41</v>
      </c>
      <c r="AP13" s="27" t="s">
        <v>41</v>
      </c>
      <c r="AQ13" s="27" t="s">
        <v>41</v>
      </c>
      <c r="AR13" s="28" t="s">
        <v>41</v>
      </c>
      <c r="AS13" s="27" t="s">
        <v>242</v>
      </c>
      <c r="AT13" s="27">
        <v>9</v>
      </c>
      <c r="AU13" s="82">
        <v>0.39</v>
      </c>
      <c r="AV13" s="86">
        <v>3260000</v>
      </c>
      <c r="AW13" s="28">
        <v>5</v>
      </c>
      <c r="AX13" s="29">
        <f t="shared" si="3"/>
        <v>7.166666666666667</v>
      </c>
      <c r="AY13" s="30" t="str">
        <f t="shared" si="4"/>
        <v>GoodReg</v>
      </c>
      <c r="AZ13" s="30">
        <f t="shared" si="5"/>
        <v>7.5</v>
      </c>
      <c r="BA13" s="30" t="str">
        <f t="shared" si="6"/>
        <v>GoodReg</v>
      </c>
      <c r="BB13" s="30">
        <f t="shared" si="7"/>
        <v>7.5</v>
      </c>
      <c r="BC13" s="30" t="str">
        <f t="shared" si="8"/>
        <v>GoodReg</v>
      </c>
      <c r="BD13" s="107">
        <f t="shared" si="9"/>
        <v>4</v>
      </c>
      <c r="BE13" s="108">
        <f t="shared" si="10"/>
        <v>3</v>
      </c>
      <c r="BF13" s="27" t="str">
        <f t="shared" si="11"/>
        <v/>
      </c>
      <c r="BG13" s="27" t="str">
        <f t="shared" si="12"/>
        <v>There</v>
      </c>
      <c r="BH13" t="str">
        <f t="shared" si="13"/>
        <v>ML</v>
      </c>
      <c r="BI13">
        <f t="shared" si="14"/>
        <v>20</v>
      </c>
      <c r="BJ13">
        <f t="shared" si="15"/>
        <v>21</v>
      </c>
      <c r="BK13">
        <f t="shared" si="16"/>
        <v>0</v>
      </c>
      <c r="BL13">
        <f t="shared" si="17"/>
        <v>0</v>
      </c>
      <c r="BM13">
        <f t="shared" si="19"/>
        <v>-1</v>
      </c>
      <c r="BN13">
        <f t="shared" si="18"/>
        <v>-1</v>
      </c>
    </row>
    <row r="14" spans="1:69">
      <c r="A14" s="95" t="str">
        <f>IF(ISERROR(VLOOKUP(E14,CON!$C$53:$C$70,1,FALSE)),IF(ISERROR(VLOOKUP(E14,'PSP-AAA'!$C$51:$C$72,1,FALSE)),IF(ISERROR(VLOOKUP(E14,'NH-AA'!$C$51:$C$72,1,FALSE)),IF(ISERROR(VLOOKUP(E14,'CRG-A'!$C$51:$C$72,1,FALSE)),IF(ISERROR(VLOOKUP(E14,'PC-S A'!$C$51:$C$72,1,FALSE)),"","S A"),"A"),"AA"),"AAA"),"ML")</f>
        <v>ML</v>
      </c>
      <c r="C14" t="str">
        <f t="shared" si="2"/>
        <v>K</v>
      </c>
      <c r="D14" s="27" t="s">
        <v>107</v>
      </c>
      <c r="E14" s="27" t="s">
        <v>17</v>
      </c>
      <c r="F14" s="27" t="s">
        <v>25</v>
      </c>
      <c r="G14" s="27" t="s">
        <v>207</v>
      </c>
      <c r="H14" s="27">
        <v>25</v>
      </c>
      <c r="I14" s="27" t="s">
        <v>104</v>
      </c>
      <c r="J14" s="28" t="s">
        <v>103</v>
      </c>
      <c r="K14" s="27" t="s">
        <v>40</v>
      </c>
      <c r="L14" s="27" t="s">
        <v>48</v>
      </c>
      <c r="M14" s="27" t="s">
        <v>225</v>
      </c>
      <c r="N14" s="28" t="s">
        <v>224</v>
      </c>
      <c r="O14" s="27">
        <v>7</v>
      </c>
      <c r="P14" s="27">
        <v>7</v>
      </c>
      <c r="Q14" s="28">
        <v>6</v>
      </c>
      <c r="R14" s="27">
        <v>7</v>
      </c>
      <c r="S14" s="27">
        <v>7</v>
      </c>
      <c r="T14" s="28">
        <v>7</v>
      </c>
      <c r="U14" s="27">
        <v>7</v>
      </c>
      <c r="V14" s="27">
        <v>7</v>
      </c>
      <c r="W14" s="27">
        <v>3</v>
      </c>
      <c r="X14" s="27">
        <v>4</v>
      </c>
      <c r="Y14" s="27" t="s">
        <v>41</v>
      </c>
      <c r="Z14" s="27" t="s">
        <v>41</v>
      </c>
      <c r="AA14" s="27" t="s">
        <v>41</v>
      </c>
      <c r="AB14" s="27" t="s">
        <v>41</v>
      </c>
      <c r="AC14" s="27" t="s">
        <v>41</v>
      </c>
      <c r="AD14" s="27" t="s">
        <v>41</v>
      </c>
      <c r="AE14" s="27">
        <v>7</v>
      </c>
      <c r="AF14" s="27">
        <v>7</v>
      </c>
      <c r="AG14" s="27" t="s">
        <v>41</v>
      </c>
      <c r="AH14" s="27" t="s">
        <v>41</v>
      </c>
      <c r="AI14" s="27" t="s">
        <v>41</v>
      </c>
      <c r="AJ14" s="27" t="s">
        <v>41</v>
      </c>
      <c r="AK14" s="27" t="s">
        <v>41</v>
      </c>
      <c r="AL14" s="27" t="s">
        <v>41</v>
      </c>
      <c r="AM14" s="27" t="s">
        <v>41</v>
      </c>
      <c r="AN14" s="27" t="s">
        <v>41</v>
      </c>
      <c r="AO14" s="27" t="s">
        <v>41</v>
      </c>
      <c r="AP14" s="27" t="s">
        <v>41</v>
      </c>
      <c r="AQ14" s="27" t="s">
        <v>41</v>
      </c>
      <c r="AR14" s="28" t="s">
        <v>41</v>
      </c>
      <c r="AS14" s="27" t="s">
        <v>11</v>
      </c>
      <c r="AT14" s="27">
        <v>1</v>
      </c>
      <c r="AU14" s="82">
        <v>0.49</v>
      </c>
      <c r="AV14" s="86">
        <v>500000</v>
      </c>
      <c r="AW14" s="28" t="s">
        <v>45</v>
      </c>
      <c r="AX14" s="29">
        <f t="shared" si="3"/>
        <v>6.916666666666667</v>
      </c>
      <c r="AY14" s="30" t="str">
        <f t="shared" si="4"/>
        <v>GoodReg</v>
      </c>
      <c r="AZ14" s="30">
        <f t="shared" si="5"/>
        <v>7.25</v>
      </c>
      <c r="BA14" s="30" t="str">
        <f t="shared" si="6"/>
        <v>GoodReg</v>
      </c>
      <c r="BB14" s="30">
        <f t="shared" si="7"/>
        <v>7.25</v>
      </c>
      <c r="BC14" s="30" t="str">
        <f t="shared" si="8"/>
        <v>GoodReg</v>
      </c>
      <c r="BD14" s="107">
        <f t="shared" si="9"/>
        <v>3</v>
      </c>
      <c r="BE14" s="108">
        <f t="shared" si="10"/>
        <v>2</v>
      </c>
      <c r="BF14" s="27" t="str">
        <f t="shared" si="11"/>
        <v/>
      </c>
      <c r="BG14" s="27" t="str">
        <f t="shared" si="12"/>
        <v>There</v>
      </c>
      <c r="BH14" t="str">
        <f t="shared" si="13"/>
        <v>ML</v>
      </c>
      <c r="BI14">
        <f t="shared" si="14"/>
        <v>20</v>
      </c>
      <c r="BJ14">
        <f t="shared" si="15"/>
        <v>21</v>
      </c>
      <c r="BK14">
        <f t="shared" si="16"/>
        <v>0</v>
      </c>
      <c r="BL14">
        <f t="shared" si="17"/>
        <v>0</v>
      </c>
      <c r="BM14">
        <f t="shared" si="19"/>
        <v>-1</v>
      </c>
      <c r="BN14">
        <f t="shared" si="18"/>
        <v>-1</v>
      </c>
    </row>
    <row r="15" spans="1:69" hidden="1">
      <c r="A15" s="95" t="str">
        <f>IF(ISERROR(VLOOKUP(E15,CON!$C$53:$C$70,1,FALSE)),IF(ISERROR(VLOOKUP(E15,'PSP-AAA'!$C$51:$C$72,1,FALSE)),IF(ISERROR(VLOOKUP(E15,'NH-AA'!$C$51:$C$72,1,FALSE)),IF(ISERROR(VLOOKUP(E15,'CRG-A'!$C$51:$C$72,1,FALSE)),IF(ISERROR(VLOOKUP(E15,'PC-S A'!$C$51:$C$72,1,FALSE)),"","S A"),"A"),"AA"),"AAA"),"ML")</f>
        <v>ML</v>
      </c>
      <c r="C15" t="str">
        <f t="shared" si="2"/>
        <v>K</v>
      </c>
      <c r="D15" s="27" t="s">
        <v>109</v>
      </c>
      <c r="E15" s="27" t="s">
        <v>16</v>
      </c>
      <c r="F15" s="27" t="s">
        <v>25</v>
      </c>
      <c r="G15" s="27" t="s">
        <v>207</v>
      </c>
      <c r="H15" s="27">
        <v>27</v>
      </c>
      <c r="I15" s="27" t="s">
        <v>103</v>
      </c>
      <c r="J15" s="28" t="s">
        <v>104</v>
      </c>
      <c r="K15" s="27" t="s">
        <v>48</v>
      </c>
      <c r="L15" s="27" t="s">
        <v>48</v>
      </c>
      <c r="M15" s="27" t="s">
        <v>224</v>
      </c>
      <c r="N15" s="28" t="s">
        <v>225</v>
      </c>
      <c r="O15" s="27">
        <v>8</v>
      </c>
      <c r="P15" s="27">
        <v>6</v>
      </c>
      <c r="Q15" s="28">
        <v>6</v>
      </c>
      <c r="R15" s="27">
        <v>8</v>
      </c>
      <c r="S15" s="27">
        <v>6</v>
      </c>
      <c r="T15" s="28">
        <v>6</v>
      </c>
      <c r="U15" s="27">
        <v>8</v>
      </c>
      <c r="V15" s="27">
        <v>8</v>
      </c>
      <c r="W15" s="27" t="s">
        <v>41</v>
      </c>
      <c r="X15" s="27" t="s">
        <v>41</v>
      </c>
      <c r="Y15" s="27" t="s">
        <v>41</v>
      </c>
      <c r="Z15" s="27" t="s">
        <v>41</v>
      </c>
      <c r="AA15" s="27">
        <v>8</v>
      </c>
      <c r="AB15" s="27">
        <v>8</v>
      </c>
      <c r="AC15" s="27" t="s">
        <v>41</v>
      </c>
      <c r="AD15" s="27" t="s">
        <v>41</v>
      </c>
      <c r="AE15" s="27" t="s">
        <v>41</v>
      </c>
      <c r="AF15" s="27" t="s">
        <v>41</v>
      </c>
      <c r="AG15" s="27" t="s">
        <v>41</v>
      </c>
      <c r="AH15" s="27" t="s">
        <v>41</v>
      </c>
      <c r="AI15" s="27" t="s">
        <v>41</v>
      </c>
      <c r="AJ15" s="27" t="s">
        <v>41</v>
      </c>
      <c r="AK15" s="27" t="s">
        <v>41</v>
      </c>
      <c r="AL15" s="27" t="s">
        <v>41</v>
      </c>
      <c r="AM15" s="27" t="s">
        <v>41</v>
      </c>
      <c r="AN15" s="27" t="s">
        <v>41</v>
      </c>
      <c r="AO15" s="27" t="s">
        <v>41</v>
      </c>
      <c r="AP15" s="27" t="s">
        <v>41</v>
      </c>
      <c r="AQ15" s="27" t="s">
        <v>41</v>
      </c>
      <c r="AR15" s="28" t="s">
        <v>41</v>
      </c>
      <c r="AS15" s="27" t="s">
        <v>5</v>
      </c>
      <c r="AT15" s="27">
        <v>3</v>
      </c>
      <c r="AU15" s="82">
        <v>0.37</v>
      </c>
      <c r="AV15" s="86">
        <v>2250000</v>
      </c>
      <c r="AW15" s="28">
        <v>3</v>
      </c>
      <c r="AX15" s="29">
        <f t="shared" si="3"/>
        <v>6.916666666666667</v>
      </c>
      <c r="AY15" s="30" t="str">
        <f t="shared" si="4"/>
        <v>GoodReg</v>
      </c>
      <c r="AZ15" s="30">
        <f t="shared" si="5"/>
        <v>6.916666666666667</v>
      </c>
      <c r="BA15" s="30" t="str">
        <f t="shared" si="6"/>
        <v>GoodReg</v>
      </c>
      <c r="BB15" s="30">
        <f t="shared" si="7"/>
        <v>6.916666666666667</v>
      </c>
      <c r="BC15" s="30" t="str">
        <f t="shared" si="8"/>
        <v>GoodReg</v>
      </c>
      <c r="BD15" s="107">
        <f t="shared" si="9"/>
        <v>2</v>
      </c>
      <c r="BE15" s="108">
        <f t="shared" si="10"/>
        <v>2</v>
      </c>
      <c r="BF15" s="27" t="str">
        <f t="shared" si="11"/>
        <v/>
      </c>
      <c r="BG15" s="27" t="str">
        <f t="shared" si="12"/>
        <v>There</v>
      </c>
      <c r="BH15" t="str">
        <f t="shared" si="13"/>
        <v>ML</v>
      </c>
      <c r="BI15">
        <f t="shared" si="14"/>
        <v>20</v>
      </c>
      <c r="BJ15">
        <f t="shared" si="15"/>
        <v>20</v>
      </c>
      <c r="BK15">
        <f t="shared" si="16"/>
        <v>0</v>
      </c>
      <c r="BL15">
        <f t="shared" si="17"/>
        <v>0</v>
      </c>
      <c r="BM15">
        <f t="shared" si="19"/>
        <v>0</v>
      </c>
      <c r="BN15">
        <f t="shared" si="18"/>
        <v>0</v>
      </c>
    </row>
    <row r="16" spans="1:69" hidden="1">
      <c r="A16" s="95" t="str">
        <f>IF(ISERROR(VLOOKUP(E16,CON!$C$53:$C$70,1,FALSE)),IF(ISERROR(VLOOKUP(E16,'PSP-AAA'!$C$51:$C$72,1,FALSE)),IF(ISERROR(VLOOKUP(E16,'NH-AA'!$C$51:$C$72,1,FALSE)),IF(ISERROR(VLOOKUP(E16,'CRG-A'!$C$51:$C$72,1,FALSE)),IF(ISERROR(VLOOKUP(E16,'PC-S A'!$C$51:$C$72,1,FALSE)),"","S A"),"A"),"AA"),"AAA"),"ML")</f>
        <v>ML</v>
      </c>
      <c r="C16" t="str">
        <f t="shared" si="2"/>
        <v>K</v>
      </c>
      <c r="D16" s="27" t="s">
        <v>107</v>
      </c>
      <c r="E16" s="27" t="s">
        <v>520</v>
      </c>
      <c r="F16" s="27" t="s">
        <v>25</v>
      </c>
      <c r="G16" s="27" t="s">
        <v>207</v>
      </c>
      <c r="H16" s="27">
        <v>29</v>
      </c>
      <c r="I16" s="27" t="s">
        <v>106</v>
      </c>
      <c r="J16" s="28" t="s">
        <v>104</v>
      </c>
      <c r="K16" s="27" t="s">
        <v>42</v>
      </c>
      <c r="L16" s="27" t="s">
        <v>40</v>
      </c>
      <c r="M16" s="27" t="s">
        <v>223</v>
      </c>
      <c r="N16" s="28" t="s">
        <v>223</v>
      </c>
      <c r="O16" s="27">
        <v>5</v>
      </c>
      <c r="P16" s="27">
        <v>8</v>
      </c>
      <c r="Q16" s="28">
        <v>7</v>
      </c>
      <c r="R16" s="27">
        <v>5</v>
      </c>
      <c r="S16" s="27">
        <v>8</v>
      </c>
      <c r="T16" s="28">
        <v>7</v>
      </c>
      <c r="U16" s="27">
        <v>4</v>
      </c>
      <c r="V16" s="27">
        <v>4</v>
      </c>
      <c r="W16" s="27" t="s">
        <v>41</v>
      </c>
      <c r="X16" s="27" t="s">
        <v>41</v>
      </c>
      <c r="Y16" s="27" t="s">
        <v>41</v>
      </c>
      <c r="Z16" s="27" t="s">
        <v>41</v>
      </c>
      <c r="AA16" s="27">
        <v>5</v>
      </c>
      <c r="AB16" s="27">
        <v>5</v>
      </c>
      <c r="AC16" s="27" t="s">
        <v>41</v>
      </c>
      <c r="AD16" s="27" t="s">
        <v>41</v>
      </c>
      <c r="AE16" s="27">
        <v>5</v>
      </c>
      <c r="AF16" s="27">
        <v>5</v>
      </c>
      <c r="AG16" s="27" t="s">
        <v>41</v>
      </c>
      <c r="AH16" s="27" t="s">
        <v>41</v>
      </c>
      <c r="AI16" s="27" t="s">
        <v>41</v>
      </c>
      <c r="AJ16" s="27" t="s">
        <v>41</v>
      </c>
      <c r="AK16" s="27" t="s">
        <v>41</v>
      </c>
      <c r="AL16" s="27" t="s">
        <v>41</v>
      </c>
      <c r="AM16" s="27" t="s">
        <v>41</v>
      </c>
      <c r="AN16" s="27" t="s">
        <v>41</v>
      </c>
      <c r="AO16" s="27" t="s">
        <v>41</v>
      </c>
      <c r="AP16" s="27" t="s">
        <v>41</v>
      </c>
      <c r="AQ16" s="27" t="s">
        <v>41</v>
      </c>
      <c r="AR16" s="28" t="s">
        <v>41</v>
      </c>
      <c r="AS16" s="27" t="s">
        <v>0</v>
      </c>
      <c r="AT16" s="27">
        <v>7</v>
      </c>
      <c r="AU16" s="82">
        <v>0.59</v>
      </c>
      <c r="AV16" s="86">
        <v>4000000</v>
      </c>
      <c r="AW16" s="28" t="s">
        <v>46</v>
      </c>
      <c r="AX16" s="29">
        <f t="shared" si="3"/>
        <v>6.916666666666667</v>
      </c>
      <c r="AY16" s="30" t="str">
        <f t="shared" si="4"/>
        <v>GoodReg</v>
      </c>
      <c r="AZ16" s="30">
        <f t="shared" si="5"/>
        <v>6.916666666666667</v>
      </c>
      <c r="BA16" s="30" t="str">
        <f t="shared" si="6"/>
        <v>GoodReg</v>
      </c>
      <c r="BB16" s="30">
        <f t="shared" si="7"/>
        <v>6.916666666666667</v>
      </c>
      <c r="BC16" s="30" t="str">
        <f t="shared" si="8"/>
        <v>GoodReg</v>
      </c>
      <c r="BD16" s="107">
        <f t="shared" si="9"/>
        <v>3</v>
      </c>
      <c r="BE16" s="108">
        <f t="shared" si="10"/>
        <v>0</v>
      </c>
      <c r="BF16" s="27" t="str">
        <f t="shared" si="11"/>
        <v/>
      </c>
      <c r="BG16" s="27" t="str">
        <f t="shared" si="12"/>
        <v>There</v>
      </c>
      <c r="BH16" t="str">
        <f t="shared" si="13"/>
        <v>ML</v>
      </c>
      <c r="BI16">
        <f t="shared" si="14"/>
        <v>20</v>
      </c>
      <c r="BJ16">
        <f t="shared" si="15"/>
        <v>20</v>
      </c>
      <c r="BK16">
        <f t="shared" si="16"/>
        <v>0</v>
      </c>
      <c r="BL16">
        <f t="shared" si="17"/>
        <v>0</v>
      </c>
      <c r="BM16">
        <f t="shared" si="19"/>
        <v>0</v>
      </c>
      <c r="BN16">
        <f t="shared" si="18"/>
        <v>0</v>
      </c>
    </row>
    <row r="17" spans="1:66" hidden="1">
      <c r="A17" s="95" t="str">
        <f>IF(ISERROR(VLOOKUP(E17,CON!$C$53:$C$70,1,FALSE)),IF(ISERROR(VLOOKUP(E17,'PSP-AAA'!$C$51:$C$72,1,FALSE)),IF(ISERROR(VLOOKUP(E17,'NH-AA'!$C$51:$C$72,1,FALSE)),IF(ISERROR(VLOOKUP(E17,'CRG-A'!$C$51:$C$72,1,FALSE)),IF(ISERROR(VLOOKUP(E17,'PC-S A'!$C$51:$C$72,1,FALSE)),"","S A"),"A"),"AA"),"AAA"),"ML")</f>
        <v>ML</v>
      </c>
      <c r="C17" t="str">
        <f t="shared" si="2"/>
        <v>K</v>
      </c>
      <c r="D17" s="27" t="s">
        <v>107</v>
      </c>
      <c r="E17" s="27" t="s">
        <v>489</v>
      </c>
      <c r="F17" s="27" t="s">
        <v>25</v>
      </c>
      <c r="G17" s="27" t="s">
        <v>207</v>
      </c>
      <c r="H17" s="27">
        <v>28</v>
      </c>
      <c r="I17" s="27" t="s">
        <v>104</v>
      </c>
      <c r="J17" s="28" t="s">
        <v>104</v>
      </c>
      <c r="K17" s="27" t="s">
        <v>42</v>
      </c>
      <c r="L17" s="27" t="s">
        <v>48</v>
      </c>
      <c r="M17" s="27" t="s">
        <v>224</v>
      </c>
      <c r="N17" s="28" t="s">
        <v>223</v>
      </c>
      <c r="O17" s="27">
        <v>8</v>
      </c>
      <c r="P17" s="27">
        <v>6</v>
      </c>
      <c r="Q17" s="28">
        <v>5</v>
      </c>
      <c r="R17" s="27">
        <v>8</v>
      </c>
      <c r="S17" s="27">
        <v>6</v>
      </c>
      <c r="T17" s="28">
        <v>5</v>
      </c>
      <c r="U17" s="27">
        <v>6</v>
      </c>
      <c r="V17" s="27">
        <v>6</v>
      </c>
      <c r="W17" s="27">
        <v>10</v>
      </c>
      <c r="X17" s="27">
        <v>10</v>
      </c>
      <c r="Y17" s="27" t="s">
        <v>41</v>
      </c>
      <c r="Z17" s="27" t="s">
        <v>41</v>
      </c>
      <c r="AA17" s="27">
        <v>6</v>
      </c>
      <c r="AB17" s="27">
        <v>6</v>
      </c>
      <c r="AC17" s="27" t="s">
        <v>41</v>
      </c>
      <c r="AD17" s="27" t="s">
        <v>41</v>
      </c>
      <c r="AE17" s="27" t="s">
        <v>41</v>
      </c>
      <c r="AF17" s="27" t="s">
        <v>41</v>
      </c>
      <c r="AG17" s="27" t="s">
        <v>41</v>
      </c>
      <c r="AH17" s="27" t="s">
        <v>41</v>
      </c>
      <c r="AI17" s="27" t="s">
        <v>41</v>
      </c>
      <c r="AJ17" s="27" t="s">
        <v>41</v>
      </c>
      <c r="AK17" s="27" t="s">
        <v>41</v>
      </c>
      <c r="AL17" s="27" t="s">
        <v>41</v>
      </c>
      <c r="AM17" s="27" t="s">
        <v>41</v>
      </c>
      <c r="AN17" s="27" t="s">
        <v>41</v>
      </c>
      <c r="AO17" s="27" t="s">
        <v>41</v>
      </c>
      <c r="AP17" s="27" t="s">
        <v>41</v>
      </c>
      <c r="AQ17" s="27" t="s">
        <v>41</v>
      </c>
      <c r="AR17" s="28" t="s">
        <v>41</v>
      </c>
      <c r="AS17" s="27" t="s">
        <v>3</v>
      </c>
      <c r="AT17" s="27">
        <v>6</v>
      </c>
      <c r="AU17" s="82">
        <v>0.57999999999999996</v>
      </c>
      <c r="AV17" s="86">
        <v>850000</v>
      </c>
      <c r="AW17" s="28">
        <v>2</v>
      </c>
      <c r="AX17" s="29">
        <f t="shared" si="3"/>
        <v>6.833333333333333</v>
      </c>
      <c r="AY17" s="30" t="str">
        <f t="shared" si="4"/>
        <v>GoodReg</v>
      </c>
      <c r="AZ17" s="30">
        <f t="shared" si="5"/>
        <v>6.833333333333333</v>
      </c>
      <c r="BA17" s="30" t="str">
        <f t="shared" si="6"/>
        <v>GoodReg</v>
      </c>
      <c r="BB17" s="30">
        <f t="shared" si="7"/>
        <v>6.833333333333333</v>
      </c>
      <c r="BC17" s="30" t="str">
        <f t="shared" si="8"/>
        <v>GoodReg</v>
      </c>
      <c r="BD17" s="107">
        <f t="shared" si="9"/>
        <v>3</v>
      </c>
      <c r="BE17" s="108">
        <f t="shared" si="10"/>
        <v>3</v>
      </c>
      <c r="BF17" s="27" t="str">
        <f t="shared" si="11"/>
        <v/>
      </c>
      <c r="BG17" s="27" t="str">
        <f t="shared" si="12"/>
        <v>There</v>
      </c>
      <c r="BH17" t="str">
        <f t="shared" si="13"/>
        <v>ML</v>
      </c>
      <c r="BI17">
        <f t="shared" si="14"/>
        <v>19</v>
      </c>
      <c r="BJ17">
        <f t="shared" si="15"/>
        <v>19</v>
      </c>
      <c r="BK17">
        <f t="shared" si="16"/>
        <v>0</v>
      </c>
      <c r="BL17">
        <f t="shared" si="17"/>
        <v>0</v>
      </c>
      <c r="BM17">
        <f t="shared" si="19"/>
        <v>0</v>
      </c>
      <c r="BN17">
        <f t="shared" si="18"/>
        <v>0</v>
      </c>
    </row>
    <row r="18" spans="1:66">
      <c r="A18" s="95" t="str">
        <f>IF(ISERROR(VLOOKUP(E18,CON!$C$53:$C$70,1,FALSE)),IF(ISERROR(VLOOKUP(E18,'PSP-AAA'!$C$51:$C$72,1,FALSE)),IF(ISERROR(VLOOKUP(E18,'NH-AA'!$C$51:$C$72,1,FALSE)),IF(ISERROR(VLOOKUP(E18,'CRG-A'!$C$51:$C$72,1,FALSE)),IF(ISERROR(VLOOKUP(E18,'PC-S A'!$C$51:$C$72,1,FALSE)),"","S A"),"A"),"AA"),"AAA"),"ML")</f>
        <v>ML</v>
      </c>
      <c r="C18" t="str">
        <f t="shared" si="2"/>
        <v>K</v>
      </c>
      <c r="D18" s="27" t="s">
        <v>108</v>
      </c>
      <c r="E18" s="27" t="s">
        <v>491</v>
      </c>
      <c r="F18" s="27" t="s">
        <v>25</v>
      </c>
      <c r="G18" s="27" t="s">
        <v>207</v>
      </c>
      <c r="H18" s="27">
        <v>25</v>
      </c>
      <c r="I18" s="27" t="s">
        <v>103</v>
      </c>
      <c r="J18" s="28" t="s">
        <v>104</v>
      </c>
      <c r="K18" s="27" t="s">
        <v>42</v>
      </c>
      <c r="L18" s="27" t="s">
        <v>48</v>
      </c>
      <c r="M18" s="27" t="s">
        <v>223</v>
      </c>
      <c r="N18" s="28" t="s">
        <v>223</v>
      </c>
      <c r="O18" s="27">
        <v>8</v>
      </c>
      <c r="P18" s="27">
        <v>5</v>
      </c>
      <c r="Q18" s="28">
        <v>6</v>
      </c>
      <c r="R18" s="27">
        <v>8</v>
      </c>
      <c r="S18" s="27">
        <v>5</v>
      </c>
      <c r="T18" s="28">
        <v>6</v>
      </c>
      <c r="U18" s="27">
        <v>9</v>
      </c>
      <c r="V18" s="27">
        <v>9</v>
      </c>
      <c r="W18" s="27">
        <v>8</v>
      </c>
      <c r="X18" s="27">
        <v>8</v>
      </c>
      <c r="Y18" s="27" t="s">
        <v>41</v>
      </c>
      <c r="Z18" s="27" t="s">
        <v>41</v>
      </c>
      <c r="AA18" s="27" t="s">
        <v>41</v>
      </c>
      <c r="AB18" s="27" t="s">
        <v>41</v>
      </c>
      <c r="AC18" s="27" t="s">
        <v>41</v>
      </c>
      <c r="AD18" s="27" t="s">
        <v>41</v>
      </c>
      <c r="AE18" s="27">
        <v>7</v>
      </c>
      <c r="AF18" s="27">
        <v>7</v>
      </c>
      <c r="AG18" s="27" t="s">
        <v>41</v>
      </c>
      <c r="AH18" s="27" t="s">
        <v>41</v>
      </c>
      <c r="AI18" s="27" t="s">
        <v>41</v>
      </c>
      <c r="AJ18" s="27" t="s">
        <v>41</v>
      </c>
      <c r="AK18" s="27" t="s">
        <v>41</v>
      </c>
      <c r="AL18" s="27" t="s">
        <v>41</v>
      </c>
      <c r="AM18" s="27" t="s">
        <v>41</v>
      </c>
      <c r="AN18" s="27" t="s">
        <v>41</v>
      </c>
      <c r="AO18" s="27" t="s">
        <v>41</v>
      </c>
      <c r="AP18" s="27" t="s">
        <v>41</v>
      </c>
      <c r="AQ18" s="27" t="s">
        <v>41</v>
      </c>
      <c r="AR18" s="28" t="s">
        <v>41</v>
      </c>
      <c r="AS18" s="27" t="s">
        <v>5</v>
      </c>
      <c r="AT18" s="27">
        <v>8</v>
      </c>
      <c r="AU18" s="82">
        <v>0.44</v>
      </c>
      <c r="AV18" s="86">
        <v>2750000</v>
      </c>
      <c r="AW18" s="28">
        <v>4</v>
      </c>
      <c r="AX18" s="29">
        <f t="shared" si="3"/>
        <v>6.583333333333333</v>
      </c>
      <c r="AY18" s="30" t="str">
        <f t="shared" si="4"/>
        <v>GoodReg</v>
      </c>
      <c r="AZ18" s="30">
        <f t="shared" si="5"/>
        <v>6.583333333333333</v>
      </c>
      <c r="BA18" s="30" t="str">
        <f t="shared" si="6"/>
        <v>GoodReg</v>
      </c>
      <c r="BB18" s="30">
        <f t="shared" si="7"/>
        <v>6.583333333333333</v>
      </c>
      <c r="BC18" s="30" t="str">
        <f t="shared" si="8"/>
        <v>GoodReg</v>
      </c>
      <c r="BD18" s="107">
        <f t="shared" si="9"/>
        <v>3</v>
      </c>
      <c r="BE18" s="108">
        <f t="shared" si="10"/>
        <v>3</v>
      </c>
      <c r="BF18" s="27" t="str">
        <f t="shared" si="11"/>
        <v/>
      </c>
      <c r="BG18" s="27" t="str">
        <f t="shared" si="12"/>
        <v>There</v>
      </c>
      <c r="BH18" t="str">
        <f t="shared" si="13"/>
        <v>ML</v>
      </c>
      <c r="BI18">
        <f t="shared" si="14"/>
        <v>19</v>
      </c>
      <c r="BJ18">
        <f t="shared" si="15"/>
        <v>19</v>
      </c>
      <c r="BK18">
        <f t="shared" si="16"/>
        <v>0</v>
      </c>
      <c r="BL18">
        <f t="shared" si="17"/>
        <v>0</v>
      </c>
      <c r="BM18">
        <f t="shared" si="19"/>
        <v>0</v>
      </c>
      <c r="BN18">
        <f t="shared" si="18"/>
        <v>0</v>
      </c>
    </row>
    <row r="19" spans="1:66" hidden="1">
      <c r="A19" s="95" t="str">
        <f>IF(ISERROR(VLOOKUP(E19,CON!$C$53:$C$70,1,FALSE)),IF(ISERROR(VLOOKUP(E19,'PSP-AAA'!$C$51:$C$72,1,FALSE)),IF(ISERROR(VLOOKUP(E19,'NH-AA'!$C$51:$C$72,1,FALSE)),IF(ISERROR(VLOOKUP(E19,'CRG-A'!$C$51:$C$72,1,FALSE)),IF(ISERROR(VLOOKUP(E19,'PC-S A'!$C$51:$C$72,1,FALSE)),"","S A"),"A"),"AA"),"AAA"),"ML")</f>
        <v>ML</v>
      </c>
      <c r="C19" t="str">
        <f t="shared" si="2"/>
        <v>K</v>
      </c>
      <c r="D19" s="27" t="s">
        <v>107</v>
      </c>
      <c r="E19" s="27" t="s">
        <v>431</v>
      </c>
      <c r="F19" s="27" t="s">
        <v>25</v>
      </c>
      <c r="G19" s="27" t="s">
        <v>207</v>
      </c>
      <c r="H19" s="27">
        <v>27</v>
      </c>
      <c r="I19" s="27" t="s">
        <v>104</v>
      </c>
      <c r="J19" s="28" t="s">
        <v>104</v>
      </c>
      <c r="K19" s="27" t="s">
        <v>42</v>
      </c>
      <c r="L19" s="27" t="s">
        <v>48</v>
      </c>
      <c r="M19" s="27" t="s">
        <v>224</v>
      </c>
      <c r="N19" s="28" t="s">
        <v>225</v>
      </c>
      <c r="O19" s="27">
        <v>4</v>
      </c>
      <c r="P19" s="27">
        <v>8</v>
      </c>
      <c r="Q19" s="28">
        <v>7</v>
      </c>
      <c r="R19" s="27">
        <v>4</v>
      </c>
      <c r="S19" s="27">
        <v>8</v>
      </c>
      <c r="T19" s="28">
        <v>7</v>
      </c>
      <c r="U19" s="27">
        <v>5</v>
      </c>
      <c r="V19" s="27">
        <v>5</v>
      </c>
      <c r="W19" s="27" t="s">
        <v>41</v>
      </c>
      <c r="X19" s="27" t="s">
        <v>41</v>
      </c>
      <c r="Y19" s="27" t="s">
        <v>41</v>
      </c>
      <c r="Z19" s="27" t="s">
        <v>41</v>
      </c>
      <c r="AA19" s="27">
        <v>4</v>
      </c>
      <c r="AB19" s="27">
        <v>4</v>
      </c>
      <c r="AC19" s="27" t="s">
        <v>41</v>
      </c>
      <c r="AD19" s="27" t="s">
        <v>41</v>
      </c>
      <c r="AE19" s="27" t="s">
        <v>41</v>
      </c>
      <c r="AF19" s="27" t="s">
        <v>41</v>
      </c>
      <c r="AG19" s="27" t="s">
        <v>41</v>
      </c>
      <c r="AH19" s="27" t="s">
        <v>41</v>
      </c>
      <c r="AI19" s="27" t="s">
        <v>41</v>
      </c>
      <c r="AJ19" s="27" t="s">
        <v>41</v>
      </c>
      <c r="AK19" s="27" t="s">
        <v>41</v>
      </c>
      <c r="AL19" s="27" t="s">
        <v>41</v>
      </c>
      <c r="AM19" s="27" t="s">
        <v>41</v>
      </c>
      <c r="AN19" s="27" t="s">
        <v>41</v>
      </c>
      <c r="AO19" s="27" t="s">
        <v>41</v>
      </c>
      <c r="AP19" s="27" t="s">
        <v>41</v>
      </c>
      <c r="AQ19" s="27" t="s">
        <v>41</v>
      </c>
      <c r="AR19" s="28" t="s">
        <v>41</v>
      </c>
      <c r="AS19" s="27" t="s">
        <v>2</v>
      </c>
      <c r="AT19" s="27">
        <v>3</v>
      </c>
      <c r="AU19" s="82">
        <v>0.7</v>
      </c>
      <c r="AV19" s="86">
        <v>850000</v>
      </c>
      <c r="AW19" s="28">
        <v>2</v>
      </c>
      <c r="AX19" s="29">
        <f t="shared" si="3"/>
        <v>6.583333333333333</v>
      </c>
      <c r="AY19" s="30" t="str">
        <f t="shared" si="4"/>
        <v>GoodReg</v>
      </c>
      <c r="AZ19" s="30">
        <f t="shared" si="5"/>
        <v>6.583333333333333</v>
      </c>
      <c r="BA19" s="30" t="str">
        <f t="shared" si="6"/>
        <v>GoodReg</v>
      </c>
      <c r="BB19" s="30">
        <f t="shared" si="7"/>
        <v>6.583333333333333</v>
      </c>
      <c r="BC19" s="30" t="str">
        <f t="shared" si="8"/>
        <v>GoodReg</v>
      </c>
      <c r="BD19" s="107">
        <f t="shared" si="9"/>
        <v>2</v>
      </c>
      <c r="BE19" s="108">
        <f t="shared" si="10"/>
        <v>0</v>
      </c>
      <c r="BF19" s="27" t="str">
        <f t="shared" si="11"/>
        <v/>
      </c>
      <c r="BG19" s="27" t="str">
        <f t="shared" si="12"/>
        <v>There</v>
      </c>
      <c r="BH19" t="str">
        <f t="shared" si="13"/>
        <v>ML</v>
      </c>
      <c r="BI19">
        <f t="shared" si="14"/>
        <v>19</v>
      </c>
      <c r="BJ19">
        <f t="shared" si="15"/>
        <v>19</v>
      </c>
      <c r="BK19">
        <f t="shared" si="16"/>
        <v>0</v>
      </c>
      <c r="BL19">
        <f t="shared" si="17"/>
        <v>0</v>
      </c>
      <c r="BM19">
        <f t="shared" si="19"/>
        <v>0</v>
      </c>
      <c r="BN19">
        <f t="shared" si="18"/>
        <v>0</v>
      </c>
    </row>
    <row r="20" spans="1:66" hidden="1">
      <c r="A20" s="95" t="str">
        <f>IF(ISERROR(VLOOKUP(E20,CON!$C$53:$C$70,1,FALSE)),IF(ISERROR(VLOOKUP(E20,'PSP-AAA'!$C$51:$C$72,1,FALSE)),IF(ISERROR(VLOOKUP(E20,'NH-AA'!$C$51:$C$72,1,FALSE)),IF(ISERROR(VLOOKUP(E20,'CRG-A'!$C$51:$C$72,1,FALSE)),IF(ISERROR(VLOOKUP(E20,'PC-S A'!$C$51:$C$72,1,FALSE)),"","S A"),"A"),"AA"),"AAA"),"ML")</f>
        <v>ML</v>
      </c>
      <c r="C20" t="str">
        <f t="shared" si="2"/>
        <v>K</v>
      </c>
      <c r="D20" s="27" t="s">
        <v>107</v>
      </c>
      <c r="E20" s="27" t="s">
        <v>49</v>
      </c>
      <c r="F20" s="27" t="s">
        <v>25</v>
      </c>
      <c r="G20" s="27" t="s">
        <v>207</v>
      </c>
      <c r="H20" s="27">
        <v>29</v>
      </c>
      <c r="I20" s="27" t="s">
        <v>104</v>
      </c>
      <c r="J20" s="28" t="s">
        <v>103</v>
      </c>
      <c r="K20" s="27" t="s">
        <v>42</v>
      </c>
      <c r="L20" s="27" t="s">
        <v>42</v>
      </c>
      <c r="M20" s="27" t="s">
        <v>223</v>
      </c>
      <c r="N20" s="28" t="s">
        <v>227</v>
      </c>
      <c r="O20" s="27">
        <v>9</v>
      </c>
      <c r="P20" s="27">
        <v>5</v>
      </c>
      <c r="Q20" s="28">
        <v>4</v>
      </c>
      <c r="R20" s="27">
        <v>9</v>
      </c>
      <c r="S20" s="27">
        <v>5</v>
      </c>
      <c r="T20" s="28">
        <v>4</v>
      </c>
      <c r="U20" s="27">
        <v>9</v>
      </c>
      <c r="V20" s="27">
        <v>9</v>
      </c>
      <c r="W20" s="27">
        <v>7</v>
      </c>
      <c r="X20" s="27">
        <v>7</v>
      </c>
      <c r="Y20" s="27" t="s">
        <v>41</v>
      </c>
      <c r="Z20" s="27" t="s">
        <v>41</v>
      </c>
      <c r="AA20" s="27" t="s">
        <v>41</v>
      </c>
      <c r="AB20" s="27" t="s">
        <v>41</v>
      </c>
      <c r="AC20" s="27" t="s">
        <v>41</v>
      </c>
      <c r="AD20" s="27" t="s">
        <v>41</v>
      </c>
      <c r="AE20" s="27" t="s">
        <v>41</v>
      </c>
      <c r="AF20" s="27" t="s">
        <v>41</v>
      </c>
      <c r="AG20" s="27" t="s">
        <v>41</v>
      </c>
      <c r="AH20" s="27" t="s">
        <v>41</v>
      </c>
      <c r="AI20" s="27" t="s">
        <v>41</v>
      </c>
      <c r="AJ20" s="27" t="s">
        <v>41</v>
      </c>
      <c r="AK20" s="27" t="s">
        <v>41</v>
      </c>
      <c r="AL20" s="27" t="s">
        <v>41</v>
      </c>
      <c r="AM20" s="27">
        <v>4</v>
      </c>
      <c r="AN20" s="27">
        <v>4</v>
      </c>
      <c r="AO20" s="27" t="s">
        <v>41</v>
      </c>
      <c r="AP20" s="27" t="s">
        <v>41</v>
      </c>
      <c r="AQ20" s="27" t="s">
        <v>41</v>
      </c>
      <c r="AR20" s="28" t="s">
        <v>41</v>
      </c>
      <c r="AS20" s="27" t="s">
        <v>14</v>
      </c>
      <c r="AT20" s="27">
        <v>2</v>
      </c>
      <c r="AU20" s="82">
        <v>0.53</v>
      </c>
      <c r="AV20" s="86">
        <v>800000</v>
      </c>
      <c r="AW20" s="28">
        <v>2</v>
      </c>
      <c r="AX20" s="29">
        <f t="shared" si="3"/>
        <v>6.25</v>
      </c>
      <c r="AY20" s="30" t="str">
        <f t="shared" si="4"/>
        <v>Reg</v>
      </c>
      <c r="AZ20" s="30">
        <f t="shared" si="5"/>
        <v>6.25</v>
      </c>
      <c r="BA20" s="30" t="str">
        <f t="shared" si="6"/>
        <v>Reg</v>
      </c>
      <c r="BB20" s="30">
        <f t="shared" si="7"/>
        <v>6.25</v>
      </c>
      <c r="BC20" s="30" t="str">
        <f t="shared" si="8"/>
        <v>Reg</v>
      </c>
      <c r="BD20" s="107">
        <f t="shared" si="9"/>
        <v>3</v>
      </c>
      <c r="BE20" s="108">
        <f t="shared" si="10"/>
        <v>2</v>
      </c>
      <c r="BF20" s="27" t="str">
        <f t="shared" si="11"/>
        <v/>
      </c>
      <c r="BG20" s="27" t="str">
        <f t="shared" si="12"/>
        <v>There</v>
      </c>
      <c r="BH20" t="str">
        <f t="shared" si="13"/>
        <v>ML</v>
      </c>
      <c r="BI20">
        <f t="shared" si="14"/>
        <v>18</v>
      </c>
      <c r="BJ20">
        <f t="shared" si="15"/>
        <v>18</v>
      </c>
      <c r="BK20">
        <f t="shared" si="16"/>
        <v>0</v>
      </c>
      <c r="BL20">
        <f t="shared" si="17"/>
        <v>0</v>
      </c>
      <c r="BM20">
        <f t="shared" si="19"/>
        <v>0</v>
      </c>
      <c r="BN20">
        <f t="shared" si="18"/>
        <v>0</v>
      </c>
    </row>
    <row r="21" spans="1:66" hidden="1">
      <c r="A21" s="95" t="str">
        <f>IF(ISERROR(VLOOKUP(E21,CON!$C$53:$C$70,1,FALSE)),IF(ISERROR(VLOOKUP(E21,'PSP-AAA'!$C$51:$C$72,1,FALSE)),IF(ISERROR(VLOOKUP(E21,'NH-AA'!$C$51:$C$72,1,FALSE)),IF(ISERROR(VLOOKUP(E21,'CRG-A'!$C$51:$C$72,1,FALSE)),IF(ISERROR(VLOOKUP(E21,'PC-S A'!$C$51:$C$72,1,FALSE)),"","S A"),"A"),"AA"),"AAA"),"ML")</f>
        <v>ML</v>
      </c>
      <c r="C21" t="str">
        <f t="shared" si="2"/>
        <v>K</v>
      </c>
      <c r="D21" s="27" t="s">
        <v>108</v>
      </c>
      <c r="E21" s="27" t="s">
        <v>409</v>
      </c>
      <c r="F21" s="27" t="s">
        <v>25</v>
      </c>
      <c r="G21" s="27" t="s">
        <v>207</v>
      </c>
      <c r="H21" s="27">
        <v>28</v>
      </c>
      <c r="I21" s="27" t="s">
        <v>103</v>
      </c>
      <c r="J21" s="28" t="s">
        <v>103</v>
      </c>
      <c r="K21" s="27" t="s">
        <v>42</v>
      </c>
      <c r="L21" s="27" t="s">
        <v>42</v>
      </c>
      <c r="M21" s="27" t="s">
        <v>224</v>
      </c>
      <c r="N21" s="28" t="s">
        <v>227</v>
      </c>
      <c r="O21" s="27">
        <v>8</v>
      </c>
      <c r="P21" s="27">
        <v>5</v>
      </c>
      <c r="Q21" s="28">
        <v>5</v>
      </c>
      <c r="R21" s="27">
        <v>8</v>
      </c>
      <c r="S21" s="27">
        <v>5</v>
      </c>
      <c r="T21" s="28">
        <v>5</v>
      </c>
      <c r="U21" s="27">
        <v>8</v>
      </c>
      <c r="V21" s="27">
        <v>8</v>
      </c>
      <c r="W21" s="27">
        <v>10</v>
      </c>
      <c r="X21" s="27">
        <v>10</v>
      </c>
      <c r="Y21" s="27" t="s">
        <v>41</v>
      </c>
      <c r="Z21" s="27" t="s">
        <v>41</v>
      </c>
      <c r="AA21" s="27">
        <v>8</v>
      </c>
      <c r="AB21" s="27">
        <v>8</v>
      </c>
      <c r="AC21" s="27" t="s">
        <v>41</v>
      </c>
      <c r="AD21" s="27" t="s">
        <v>41</v>
      </c>
      <c r="AE21" s="27" t="s">
        <v>41</v>
      </c>
      <c r="AF21" s="27" t="s">
        <v>41</v>
      </c>
      <c r="AG21" s="27" t="s">
        <v>41</v>
      </c>
      <c r="AH21" s="27" t="s">
        <v>41</v>
      </c>
      <c r="AI21" s="27" t="s">
        <v>41</v>
      </c>
      <c r="AJ21" s="27" t="s">
        <v>41</v>
      </c>
      <c r="AK21" s="27" t="s">
        <v>41</v>
      </c>
      <c r="AL21" s="27" t="s">
        <v>41</v>
      </c>
      <c r="AM21" s="27" t="s">
        <v>41</v>
      </c>
      <c r="AN21" s="27" t="s">
        <v>41</v>
      </c>
      <c r="AO21" s="27" t="s">
        <v>41</v>
      </c>
      <c r="AP21" s="27" t="s">
        <v>41</v>
      </c>
      <c r="AQ21" s="27" t="s">
        <v>41</v>
      </c>
      <c r="AR21" s="28" t="s">
        <v>41</v>
      </c>
      <c r="AS21" s="27" t="s">
        <v>11</v>
      </c>
      <c r="AT21" s="27">
        <v>9</v>
      </c>
      <c r="AU21" s="82">
        <v>0.38</v>
      </c>
      <c r="AV21" s="86">
        <v>800000</v>
      </c>
      <c r="AW21" s="28">
        <v>2</v>
      </c>
      <c r="AX21" s="29">
        <f t="shared" si="3"/>
        <v>6.25</v>
      </c>
      <c r="AY21" s="30" t="str">
        <f t="shared" si="4"/>
        <v>Reg</v>
      </c>
      <c r="AZ21" s="30">
        <f t="shared" si="5"/>
        <v>6.25</v>
      </c>
      <c r="BA21" s="30" t="str">
        <f t="shared" si="6"/>
        <v>Reg</v>
      </c>
      <c r="BB21" s="30">
        <f t="shared" si="7"/>
        <v>6.25</v>
      </c>
      <c r="BC21" s="30" t="str">
        <f t="shared" si="8"/>
        <v>Reg</v>
      </c>
      <c r="BD21" s="107">
        <f t="shared" si="9"/>
        <v>3</v>
      </c>
      <c r="BE21" s="108">
        <f t="shared" si="10"/>
        <v>3</v>
      </c>
      <c r="BF21" s="27" t="str">
        <f t="shared" si="11"/>
        <v/>
      </c>
      <c r="BG21" s="27" t="str">
        <f t="shared" si="12"/>
        <v>There</v>
      </c>
      <c r="BH21" t="str">
        <f t="shared" si="13"/>
        <v>ML</v>
      </c>
      <c r="BI21">
        <f t="shared" si="14"/>
        <v>18</v>
      </c>
      <c r="BJ21">
        <f t="shared" si="15"/>
        <v>18</v>
      </c>
      <c r="BK21">
        <f t="shared" si="16"/>
        <v>0</v>
      </c>
      <c r="BL21">
        <f t="shared" si="17"/>
        <v>0</v>
      </c>
      <c r="BM21">
        <f t="shared" si="19"/>
        <v>0</v>
      </c>
      <c r="BN21">
        <f t="shared" si="18"/>
        <v>0</v>
      </c>
    </row>
    <row r="22" spans="1:66">
      <c r="A22" s="95" t="str">
        <f>IF(ISERROR(VLOOKUP(E22,CON!$C$53:$C$70,1,FALSE)),IF(ISERROR(VLOOKUP(E22,'PSP-AAA'!$C$51:$C$72,1,FALSE)),IF(ISERROR(VLOOKUP(E22,'NH-AA'!$C$51:$C$72,1,FALSE)),IF(ISERROR(VLOOKUP(E22,'CRG-A'!$C$51:$C$72,1,FALSE)),IF(ISERROR(VLOOKUP(E22,'PC-S A'!$C$51:$C$72,1,FALSE)),"","S A"),"A"),"AA"),"AAA"),"ML")</f>
        <v>ML</v>
      </c>
      <c r="C22" t="str">
        <f t="shared" si="2"/>
        <v>T</v>
      </c>
      <c r="D22" s="27" t="s">
        <v>107</v>
      </c>
      <c r="E22" s="27" t="s">
        <v>414</v>
      </c>
      <c r="F22" s="27" t="s">
        <v>25</v>
      </c>
      <c r="G22" s="27" t="s">
        <v>207</v>
      </c>
      <c r="H22" s="27">
        <v>23</v>
      </c>
      <c r="I22" s="27" t="s">
        <v>103</v>
      </c>
      <c r="J22" s="28" t="s">
        <v>103</v>
      </c>
      <c r="K22" s="27" t="s">
        <v>42</v>
      </c>
      <c r="L22" s="27" t="s">
        <v>42</v>
      </c>
      <c r="M22" s="27" t="s">
        <v>226</v>
      </c>
      <c r="N22" s="28" t="s">
        <v>225</v>
      </c>
      <c r="O22" s="27">
        <v>9</v>
      </c>
      <c r="P22" s="27">
        <v>6</v>
      </c>
      <c r="Q22" s="28">
        <v>2</v>
      </c>
      <c r="R22" s="27">
        <v>9</v>
      </c>
      <c r="S22" s="27">
        <v>6</v>
      </c>
      <c r="T22" s="28">
        <v>2</v>
      </c>
      <c r="U22" s="27">
        <v>9</v>
      </c>
      <c r="V22" s="27">
        <v>9</v>
      </c>
      <c r="W22" s="27">
        <v>4</v>
      </c>
      <c r="X22" s="27">
        <v>5</v>
      </c>
      <c r="Y22" s="27" t="s">
        <v>41</v>
      </c>
      <c r="Z22" s="27" t="s">
        <v>41</v>
      </c>
      <c r="AA22" s="27">
        <v>6</v>
      </c>
      <c r="AB22" s="27">
        <v>6</v>
      </c>
      <c r="AC22" s="27" t="s">
        <v>41</v>
      </c>
      <c r="AD22" s="27" t="s">
        <v>41</v>
      </c>
      <c r="AE22" s="27" t="s">
        <v>41</v>
      </c>
      <c r="AF22" s="27" t="s">
        <v>41</v>
      </c>
      <c r="AG22" s="27" t="s">
        <v>41</v>
      </c>
      <c r="AH22" s="27" t="s">
        <v>41</v>
      </c>
      <c r="AI22" s="27" t="s">
        <v>41</v>
      </c>
      <c r="AJ22" s="27" t="s">
        <v>41</v>
      </c>
      <c r="AK22" s="27" t="s">
        <v>41</v>
      </c>
      <c r="AL22" s="27" t="s">
        <v>41</v>
      </c>
      <c r="AM22" s="27" t="s">
        <v>41</v>
      </c>
      <c r="AN22" s="27" t="s">
        <v>41</v>
      </c>
      <c r="AO22" s="27" t="s">
        <v>41</v>
      </c>
      <c r="AP22" s="27" t="s">
        <v>41</v>
      </c>
      <c r="AQ22" s="27" t="s">
        <v>41</v>
      </c>
      <c r="AR22" s="28" t="s">
        <v>41</v>
      </c>
      <c r="AS22" s="27" t="s">
        <v>402</v>
      </c>
      <c r="AT22" s="27">
        <v>9</v>
      </c>
      <c r="AU22" s="82">
        <v>0.6</v>
      </c>
      <c r="AV22" s="86">
        <v>828000</v>
      </c>
      <c r="AW22" s="28" t="s">
        <v>45</v>
      </c>
      <c r="AX22" s="29">
        <f t="shared" si="3"/>
        <v>6.166666666666667</v>
      </c>
      <c r="AY22" s="30" t="str">
        <f t="shared" si="4"/>
        <v>Reg</v>
      </c>
      <c r="AZ22" s="30">
        <f t="shared" si="5"/>
        <v>6.166666666666667</v>
      </c>
      <c r="BA22" s="30" t="str">
        <f t="shared" si="6"/>
        <v>Reg</v>
      </c>
      <c r="BB22" s="30">
        <f t="shared" si="7"/>
        <v>6.166666666666667</v>
      </c>
      <c r="BC22" s="30" t="str">
        <f t="shared" si="8"/>
        <v>Reg</v>
      </c>
      <c r="BD22" s="107">
        <f t="shared" si="9"/>
        <v>3</v>
      </c>
      <c r="BE22" s="108">
        <f t="shared" si="10"/>
        <v>2</v>
      </c>
      <c r="BF22" s="27" t="str">
        <f t="shared" si="11"/>
        <v/>
      </c>
      <c r="BG22" s="27" t="str">
        <f t="shared" si="12"/>
        <v>There</v>
      </c>
      <c r="BH22" t="str">
        <f t="shared" si="13"/>
        <v>ML</v>
      </c>
      <c r="BI22">
        <f t="shared" si="14"/>
        <v>17</v>
      </c>
      <c r="BJ22">
        <f t="shared" si="15"/>
        <v>17</v>
      </c>
      <c r="BK22">
        <f t="shared" si="16"/>
        <v>0</v>
      </c>
      <c r="BL22">
        <f t="shared" si="17"/>
        <v>0</v>
      </c>
      <c r="BM22">
        <f t="shared" si="19"/>
        <v>0</v>
      </c>
      <c r="BN22">
        <f t="shared" si="18"/>
        <v>0</v>
      </c>
    </row>
    <row r="23" spans="1:66">
      <c r="A23" s="95"/>
      <c r="D23" s="27"/>
      <c r="E23" s="27"/>
      <c r="F23" s="27"/>
      <c r="G23" s="27"/>
      <c r="H23" s="27"/>
      <c r="I23" s="27"/>
      <c r="J23" s="28"/>
      <c r="K23" s="27"/>
      <c r="L23" s="27"/>
      <c r="M23" s="27"/>
      <c r="N23" s="28"/>
      <c r="O23" s="27"/>
      <c r="P23" s="27"/>
      <c r="Q23" s="28"/>
      <c r="R23" s="27"/>
      <c r="S23" s="27"/>
      <c r="T23" s="28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8"/>
      <c r="AS23" s="27"/>
      <c r="AT23" s="27"/>
      <c r="AU23" s="82"/>
      <c r="AV23" s="86"/>
      <c r="AW23" s="28"/>
      <c r="AX23" s="29"/>
      <c r="AY23" s="30"/>
      <c r="AZ23" s="30"/>
      <c r="BA23" s="30"/>
      <c r="BB23" s="30"/>
      <c r="BC23" s="30"/>
      <c r="BD23" s="107"/>
      <c r="BE23" s="108"/>
      <c r="BF23" s="27"/>
    </row>
    <row r="24" spans="1:66">
      <c r="A24" s="95" t="str">
        <f>IF(ISERROR(VLOOKUP(E24,CON!$C$53:$C$70,1,FALSE)),IF(ISERROR(VLOOKUP(E24,'PSP-AAA'!$C$51:$C$72,1,FALSE)),IF(ISERROR(VLOOKUP(E24,'NH-AA'!$C$51:$C$72,1,FALSE)),IF(ISERROR(VLOOKUP(E24,'CRG-A'!$C$51:$C$72,1,FALSE)),IF(ISERROR(VLOOKUP(E24,'PC-S A'!$C$51:$C$72,1,FALSE)),"","S A"),"A"),"AA"),"AAA"),"ML")</f>
        <v>AAA</v>
      </c>
      <c r="C24" s="27" t="str">
        <f t="shared" si="2"/>
        <v>K</v>
      </c>
      <c r="D24" s="27" t="s">
        <v>107</v>
      </c>
      <c r="E24" s="27" t="s">
        <v>9</v>
      </c>
      <c r="F24" s="27" t="s">
        <v>25</v>
      </c>
      <c r="G24" s="27" t="s">
        <v>207</v>
      </c>
      <c r="H24" s="27">
        <v>25</v>
      </c>
      <c r="I24" s="27" t="s">
        <v>104</v>
      </c>
      <c r="J24" s="28" t="s">
        <v>104</v>
      </c>
      <c r="K24" s="27" t="s">
        <v>42</v>
      </c>
      <c r="L24" s="27" t="s">
        <v>40</v>
      </c>
      <c r="M24" s="27" t="s">
        <v>224</v>
      </c>
      <c r="N24" s="28" t="s">
        <v>227</v>
      </c>
      <c r="O24" s="27">
        <v>7</v>
      </c>
      <c r="P24" s="27">
        <v>7</v>
      </c>
      <c r="Q24" s="28">
        <v>4</v>
      </c>
      <c r="R24" s="27">
        <v>7</v>
      </c>
      <c r="S24" s="27">
        <v>7</v>
      </c>
      <c r="T24" s="28">
        <v>4</v>
      </c>
      <c r="U24" s="27">
        <v>8</v>
      </c>
      <c r="V24" s="27">
        <v>8</v>
      </c>
      <c r="W24" s="27" t="s">
        <v>41</v>
      </c>
      <c r="X24" s="27" t="s">
        <v>41</v>
      </c>
      <c r="Y24" s="27" t="s">
        <v>41</v>
      </c>
      <c r="Z24" s="27" t="s">
        <v>41</v>
      </c>
      <c r="AA24" s="27">
        <v>7</v>
      </c>
      <c r="AB24" s="27">
        <v>7</v>
      </c>
      <c r="AC24" s="27" t="s">
        <v>41</v>
      </c>
      <c r="AD24" s="27" t="s">
        <v>41</v>
      </c>
      <c r="AE24" s="27" t="s">
        <v>41</v>
      </c>
      <c r="AF24" s="27" t="s">
        <v>41</v>
      </c>
      <c r="AG24" s="27" t="s">
        <v>41</v>
      </c>
      <c r="AH24" s="27" t="s">
        <v>41</v>
      </c>
      <c r="AI24" s="27" t="s">
        <v>41</v>
      </c>
      <c r="AJ24" s="27" t="s">
        <v>41</v>
      </c>
      <c r="AK24" s="27" t="s">
        <v>41</v>
      </c>
      <c r="AL24" s="27" t="s">
        <v>41</v>
      </c>
      <c r="AM24" s="27" t="s">
        <v>41</v>
      </c>
      <c r="AN24" s="27" t="s">
        <v>41</v>
      </c>
      <c r="AO24" s="27" t="s">
        <v>41</v>
      </c>
      <c r="AP24" s="27" t="s">
        <v>41</v>
      </c>
      <c r="AQ24" s="27" t="s">
        <v>41</v>
      </c>
      <c r="AR24" s="28" t="s">
        <v>41</v>
      </c>
      <c r="AS24" s="27" t="s">
        <v>242</v>
      </c>
      <c r="AT24" s="27">
        <v>1</v>
      </c>
      <c r="AU24" s="82">
        <v>0.63</v>
      </c>
      <c r="AV24" s="86">
        <v>500000</v>
      </c>
      <c r="AW24" s="28" t="s">
        <v>45</v>
      </c>
      <c r="AX24" s="29">
        <f t="shared" si="3"/>
        <v>6.5</v>
      </c>
      <c r="AY24" s="30" t="str">
        <f t="shared" si="4"/>
        <v>Reg</v>
      </c>
      <c r="AZ24" s="30">
        <f t="shared" si="5"/>
        <v>6.5</v>
      </c>
      <c r="BA24" s="30" t="str">
        <f t="shared" si="6"/>
        <v>Reg</v>
      </c>
      <c r="BB24" s="30">
        <f t="shared" si="7"/>
        <v>6.5</v>
      </c>
      <c r="BC24" s="30" t="str">
        <f t="shared" si="8"/>
        <v>Reg</v>
      </c>
      <c r="BD24" s="107">
        <f t="shared" si="9"/>
        <v>2</v>
      </c>
      <c r="BE24" s="108">
        <f t="shared" si="10"/>
        <v>2</v>
      </c>
      <c r="BF24" s="27" t="str">
        <f t="shared" si="11"/>
        <v/>
      </c>
      <c r="BG24" s="27" t="str">
        <f t="shared" si="12"/>
        <v>Likely</v>
      </c>
      <c r="BH24" t="str">
        <f t="shared" si="13"/>
        <v>ML</v>
      </c>
      <c r="BI24">
        <f t="shared" si="14"/>
        <v>18</v>
      </c>
      <c r="BJ24">
        <f t="shared" si="15"/>
        <v>18</v>
      </c>
      <c r="BK24">
        <f t="shared" si="16"/>
        <v>0</v>
      </c>
      <c r="BL24">
        <f t="shared" si="17"/>
        <v>0</v>
      </c>
      <c r="BM24">
        <f t="shared" si="19"/>
        <v>0</v>
      </c>
      <c r="BN24">
        <f t="shared" si="18"/>
        <v>0</v>
      </c>
    </row>
    <row r="25" spans="1:66">
      <c r="A25" s="95" t="str">
        <f>IF(ISERROR(VLOOKUP(E25,CON!$C$53:$C$70,1,FALSE)),IF(ISERROR(VLOOKUP(E25,'PSP-AAA'!$C$51:$C$72,1,FALSE)),IF(ISERROR(VLOOKUP(E25,'NH-AA'!$C$51:$C$72,1,FALSE)),IF(ISERROR(VLOOKUP(E25,'CRG-A'!$C$51:$C$72,1,FALSE)),IF(ISERROR(VLOOKUP(E25,'PC-S A'!$C$51:$C$72,1,FALSE)),"","S A"),"A"),"AA"),"AAA"),"ML")</f>
        <v>AAA</v>
      </c>
      <c r="C25" t="str">
        <f t="shared" si="2"/>
        <v>T</v>
      </c>
      <c r="D25" s="27" t="s">
        <v>107</v>
      </c>
      <c r="E25" s="27" t="s">
        <v>425</v>
      </c>
      <c r="F25" s="27" t="s">
        <v>371</v>
      </c>
      <c r="G25" s="27" t="s">
        <v>208</v>
      </c>
      <c r="H25" s="27">
        <v>23</v>
      </c>
      <c r="I25" s="27" t="s">
        <v>104</v>
      </c>
      <c r="J25" s="28" t="s">
        <v>104</v>
      </c>
      <c r="K25" s="27" t="s">
        <v>42</v>
      </c>
      <c r="L25" s="27" t="s">
        <v>40</v>
      </c>
      <c r="M25" s="27" t="s">
        <v>226</v>
      </c>
      <c r="N25" s="28" t="s">
        <v>223</v>
      </c>
      <c r="O25" s="27">
        <v>9</v>
      </c>
      <c r="P25" s="27">
        <v>5</v>
      </c>
      <c r="Q25" s="28">
        <v>4</v>
      </c>
      <c r="R25" s="27">
        <v>9</v>
      </c>
      <c r="S25" s="27">
        <v>5</v>
      </c>
      <c r="T25" s="28">
        <v>5</v>
      </c>
      <c r="U25" s="27">
        <v>9</v>
      </c>
      <c r="V25" s="27">
        <v>9</v>
      </c>
      <c r="W25" s="27" t="s">
        <v>41</v>
      </c>
      <c r="X25" s="27" t="s">
        <v>41</v>
      </c>
      <c r="Y25" s="27" t="s">
        <v>41</v>
      </c>
      <c r="Z25" s="27" t="s">
        <v>41</v>
      </c>
      <c r="AA25" s="27">
        <v>8</v>
      </c>
      <c r="AB25" s="27">
        <v>8</v>
      </c>
      <c r="AC25" s="27" t="s">
        <v>41</v>
      </c>
      <c r="AD25" s="27" t="s">
        <v>41</v>
      </c>
      <c r="AE25" s="27" t="s">
        <v>41</v>
      </c>
      <c r="AF25" s="27" t="s">
        <v>41</v>
      </c>
      <c r="AG25" s="27" t="s">
        <v>41</v>
      </c>
      <c r="AH25" s="27" t="s">
        <v>41</v>
      </c>
      <c r="AI25" s="27" t="s">
        <v>41</v>
      </c>
      <c r="AJ25" s="27" t="s">
        <v>41</v>
      </c>
      <c r="AK25" s="27" t="s">
        <v>41</v>
      </c>
      <c r="AL25" s="27" t="s">
        <v>41</v>
      </c>
      <c r="AM25" s="27" t="s">
        <v>41</v>
      </c>
      <c r="AN25" s="27" t="s">
        <v>41</v>
      </c>
      <c r="AO25" s="27" t="s">
        <v>41</v>
      </c>
      <c r="AP25" s="27" t="s">
        <v>41</v>
      </c>
      <c r="AQ25" s="27" t="s">
        <v>41</v>
      </c>
      <c r="AR25" s="28" t="s">
        <v>41</v>
      </c>
      <c r="AS25" s="27" t="s">
        <v>242</v>
      </c>
      <c r="AT25" s="27">
        <v>1</v>
      </c>
      <c r="AU25" s="82">
        <v>0.37</v>
      </c>
      <c r="AV25" s="86" t="s">
        <v>41</v>
      </c>
      <c r="AW25" s="28">
        <v>0</v>
      </c>
      <c r="AX25" s="29">
        <f t="shared" si="3"/>
        <v>6.25</v>
      </c>
      <c r="AY25" s="30" t="str">
        <f t="shared" si="4"/>
        <v>Reg</v>
      </c>
      <c r="AZ25" s="30">
        <f t="shared" si="5"/>
        <v>6.583333333333333</v>
      </c>
      <c r="BA25" s="30" t="str">
        <f t="shared" si="6"/>
        <v>GoodReg</v>
      </c>
      <c r="BB25" s="30">
        <f t="shared" si="7"/>
        <v>6.583333333333333</v>
      </c>
      <c r="BC25" s="30" t="str">
        <f t="shared" si="8"/>
        <v>GoodReg</v>
      </c>
      <c r="BD25" s="107">
        <f t="shared" si="9"/>
        <v>2</v>
      </c>
      <c r="BE25" s="108">
        <f t="shared" si="10"/>
        <v>2</v>
      </c>
      <c r="BF25" s="27" t="str">
        <f t="shared" si="11"/>
        <v/>
      </c>
      <c r="BG25" s="27" t="str">
        <f t="shared" si="12"/>
        <v>Likely</v>
      </c>
      <c r="BH25" t="str">
        <f t="shared" si="13"/>
        <v>ML</v>
      </c>
      <c r="BI25">
        <f t="shared" si="14"/>
        <v>18</v>
      </c>
      <c r="BJ25">
        <f t="shared" si="15"/>
        <v>19</v>
      </c>
      <c r="BK25">
        <f t="shared" si="16"/>
        <v>0</v>
      </c>
      <c r="BL25">
        <f t="shared" si="17"/>
        <v>0</v>
      </c>
      <c r="BM25">
        <f t="shared" si="19"/>
        <v>-1</v>
      </c>
      <c r="BN25">
        <f t="shared" si="18"/>
        <v>-1</v>
      </c>
    </row>
    <row r="26" spans="1:66">
      <c r="A26" s="95" t="str">
        <f>IF(ISERROR(VLOOKUP(E26,CON!$C$53:$C$70,1,FALSE)),IF(ISERROR(VLOOKUP(E26,'PSP-AAA'!$C$51:$C$72,1,FALSE)),IF(ISERROR(VLOOKUP(E26,'NH-AA'!$C$51:$C$72,1,FALSE)),IF(ISERROR(VLOOKUP(E26,'CRG-A'!$C$51:$C$72,1,FALSE)),IF(ISERROR(VLOOKUP(E26,'PC-S A'!$C$51:$C$72,1,FALSE)),"","S A"),"A"),"AA"),"AAA"),"ML")</f>
        <v>AAA</v>
      </c>
      <c r="C26" t="str">
        <f t="shared" si="2"/>
        <v>K</v>
      </c>
      <c r="D26" s="27" t="s">
        <v>109</v>
      </c>
      <c r="E26" s="27" t="s">
        <v>472</v>
      </c>
      <c r="F26" s="27" t="s">
        <v>372</v>
      </c>
      <c r="G26" s="27" t="s">
        <v>209</v>
      </c>
      <c r="H26" s="27">
        <v>23</v>
      </c>
      <c r="I26" s="27" t="s">
        <v>103</v>
      </c>
      <c r="J26" s="28" t="s">
        <v>103</v>
      </c>
      <c r="K26" s="27" t="s">
        <v>42</v>
      </c>
      <c r="L26" s="27" t="s">
        <v>48</v>
      </c>
      <c r="M26" s="27" t="s">
        <v>224</v>
      </c>
      <c r="N26" s="28" t="s">
        <v>225</v>
      </c>
      <c r="O26" s="27">
        <v>6</v>
      </c>
      <c r="P26" s="27">
        <v>6</v>
      </c>
      <c r="Q26" s="28">
        <v>5</v>
      </c>
      <c r="R26" s="27">
        <v>6</v>
      </c>
      <c r="S26" s="27">
        <v>6</v>
      </c>
      <c r="T26" s="28">
        <v>7</v>
      </c>
      <c r="U26" s="27">
        <v>7</v>
      </c>
      <c r="V26" s="27">
        <v>7</v>
      </c>
      <c r="W26" s="27" t="s">
        <v>41</v>
      </c>
      <c r="X26" s="27" t="s">
        <v>41</v>
      </c>
      <c r="Y26" s="27">
        <v>6</v>
      </c>
      <c r="Z26" s="27">
        <v>8</v>
      </c>
      <c r="AA26" s="27" t="s">
        <v>41</v>
      </c>
      <c r="AB26" s="27" t="s">
        <v>41</v>
      </c>
      <c r="AC26" s="27" t="s">
        <v>41</v>
      </c>
      <c r="AD26" s="27" t="s">
        <v>41</v>
      </c>
      <c r="AE26" s="27" t="s">
        <v>41</v>
      </c>
      <c r="AF26" s="27" t="s">
        <v>41</v>
      </c>
      <c r="AG26" s="27" t="s">
        <v>41</v>
      </c>
      <c r="AH26" s="27" t="s">
        <v>41</v>
      </c>
      <c r="AI26" s="27" t="s">
        <v>41</v>
      </c>
      <c r="AJ26" s="27" t="s">
        <v>41</v>
      </c>
      <c r="AK26" s="27" t="s">
        <v>41</v>
      </c>
      <c r="AL26" s="27" t="s">
        <v>41</v>
      </c>
      <c r="AM26" s="27" t="s">
        <v>41</v>
      </c>
      <c r="AN26" s="27" t="s">
        <v>41</v>
      </c>
      <c r="AO26" s="27" t="s">
        <v>41</v>
      </c>
      <c r="AP26" s="27" t="s">
        <v>41</v>
      </c>
      <c r="AQ26" s="27" t="s">
        <v>41</v>
      </c>
      <c r="AR26" s="28" t="s">
        <v>41</v>
      </c>
      <c r="AS26" s="27" t="s">
        <v>15</v>
      </c>
      <c r="AT26" s="27">
        <v>2</v>
      </c>
      <c r="AU26" s="82">
        <v>0.56000000000000005</v>
      </c>
      <c r="AV26" s="86" t="s">
        <v>41</v>
      </c>
      <c r="AW26" s="28">
        <v>0</v>
      </c>
      <c r="AX26" s="29">
        <f t="shared" si="3"/>
        <v>6.166666666666667</v>
      </c>
      <c r="AY26" s="30" t="str">
        <f t="shared" si="4"/>
        <v>Reg</v>
      </c>
      <c r="AZ26" s="30">
        <f t="shared" si="5"/>
        <v>6.833333333333333</v>
      </c>
      <c r="BA26" s="30" t="str">
        <f t="shared" si="6"/>
        <v>GoodReg</v>
      </c>
      <c r="BB26" s="30">
        <f t="shared" si="7"/>
        <v>6.833333333333333</v>
      </c>
      <c r="BC26" s="30" t="str">
        <f t="shared" si="8"/>
        <v>GoodReg</v>
      </c>
      <c r="BD26" s="107">
        <f t="shared" si="9"/>
        <v>2</v>
      </c>
      <c r="BE26" s="108">
        <f t="shared" si="10"/>
        <v>2</v>
      </c>
      <c r="BF26" s="27" t="str">
        <f t="shared" si="11"/>
        <v/>
      </c>
      <c r="BG26" s="27" t="str">
        <f t="shared" si="12"/>
        <v>Likely</v>
      </c>
      <c r="BH26" t="str">
        <f t="shared" si="13"/>
        <v>ML</v>
      </c>
      <c r="BI26">
        <f t="shared" si="14"/>
        <v>17</v>
      </c>
      <c r="BJ26">
        <f t="shared" si="15"/>
        <v>19</v>
      </c>
      <c r="BK26">
        <f t="shared" si="16"/>
        <v>0</v>
      </c>
      <c r="BL26">
        <f t="shared" si="17"/>
        <v>0</v>
      </c>
      <c r="BM26">
        <f t="shared" si="19"/>
        <v>-2</v>
      </c>
      <c r="BN26">
        <f t="shared" si="18"/>
        <v>-2</v>
      </c>
    </row>
    <row r="27" spans="1:66">
      <c r="A27" s="95" t="str">
        <f>IF(ISERROR(VLOOKUP(E27,CON!$C$53:$C$70,1,FALSE)),IF(ISERROR(VLOOKUP(E27,'PSP-AAA'!$C$51:$C$72,1,FALSE)),IF(ISERROR(VLOOKUP(E27,'NH-AA'!$C$51:$C$72,1,FALSE)),IF(ISERROR(VLOOKUP(E27,'CRG-A'!$C$51:$C$72,1,FALSE)),IF(ISERROR(VLOOKUP(E27,'PC-S A'!$C$51:$C$72,1,FALSE)),"","S A"),"A"),"AA"),"AAA"),"ML")</f>
        <v>AAA</v>
      </c>
      <c r="C27" t="str">
        <f t="shared" si="2"/>
        <v>K</v>
      </c>
      <c r="D27" s="27" t="s">
        <v>108</v>
      </c>
      <c r="E27" s="27" t="s">
        <v>54</v>
      </c>
      <c r="F27" s="27" t="s">
        <v>372</v>
      </c>
      <c r="G27" s="27" t="s">
        <v>209</v>
      </c>
      <c r="H27" s="27">
        <v>23</v>
      </c>
      <c r="I27" s="27" t="s">
        <v>103</v>
      </c>
      <c r="J27" s="28" t="s">
        <v>103</v>
      </c>
      <c r="K27" s="27" t="s">
        <v>42</v>
      </c>
      <c r="L27" s="27" t="s">
        <v>40</v>
      </c>
      <c r="M27" s="27" t="s">
        <v>224</v>
      </c>
      <c r="N27" s="28" t="s">
        <v>226</v>
      </c>
      <c r="O27" s="27">
        <v>10</v>
      </c>
      <c r="P27" s="27">
        <v>4</v>
      </c>
      <c r="Q27" s="28">
        <v>3</v>
      </c>
      <c r="R27" s="27">
        <v>10</v>
      </c>
      <c r="S27" s="27">
        <v>4</v>
      </c>
      <c r="T27" s="28">
        <v>4</v>
      </c>
      <c r="U27" s="27">
        <v>10</v>
      </c>
      <c r="V27" s="27">
        <v>10</v>
      </c>
      <c r="W27" s="27" t="s">
        <v>41</v>
      </c>
      <c r="X27" s="27" t="s">
        <v>41</v>
      </c>
      <c r="Y27" s="27" t="s">
        <v>41</v>
      </c>
      <c r="Z27" s="27" t="s">
        <v>41</v>
      </c>
      <c r="AA27" s="27">
        <v>10</v>
      </c>
      <c r="AB27" s="27">
        <v>10</v>
      </c>
      <c r="AC27" s="27" t="s">
        <v>41</v>
      </c>
      <c r="AD27" s="27" t="s">
        <v>41</v>
      </c>
      <c r="AE27" s="27" t="s">
        <v>41</v>
      </c>
      <c r="AF27" s="27" t="s">
        <v>41</v>
      </c>
      <c r="AG27" s="27" t="s">
        <v>41</v>
      </c>
      <c r="AH27" s="27" t="s">
        <v>41</v>
      </c>
      <c r="AI27" s="27" t="s">
        <v>41</v>
      </c>
      <c r="AJ27" s="27" t="s">
        <v>41</v>
      </c>
      <c r="AK27" s="27" t="s">
        <v>41</v>
      </c>
      <c r="AL27" s="27" t="s">
        <v>41</v>
      </c>
      <c r="AM27" s="27" t="s">
        <v>41</v>
      </c>
      <c r="AN27" s="27" t="s">
        <v>41</v>
      </c>
      <c r="AO27" s="27" t="s">
        <v>41</v>
      </c>
      <c r="AP27" s="27" t="s">
        <v>41</v>
      </c>
      <c r="AQ27" s="27" t="s">
        <v>41</v>
      </c>
      <c r="AR27" s="28" t="s">
        <v>41</v>
      </c>
      <c r="AS27" s="27" t="s">
        <v>402</v>
      </c>
      <c r="AT27" s="27">
        <v>6</v>
      </c>
      <c r="AU27" s="82">
        <v>0.41</v>
      </c>
      <c r="AV27" s="86" t="s">
        <v>41</v>
      </c>
      <c r="AW27" s="28">
        <v>0</v>
      </c>
      <c r="AX27" s="29">
        <f t="shared" si="3"/>
        <v>5.916666666666667</v>
      </c>
      <c r="AY27" s="30" t="str">
        <f t="shared" si="4"/>
        <v>Reg</v>
      </c>
      <c r="AZ27" s="30">
        <f t="shared" si="5"/>
        <v>6.25</v>
      </c>
      <c r="BA27" s="30" t="str">
        <f t="shared" si="6"/>
        <v>Reg</v>
      </c>
      <c r="BB27" s="30">
        <f t="shared" si="7"/>
        <v>6.25</v>
      </c>
      <c r="BC27" s="30" t="str">
        <f t="shared" si="8"/>
        <v>Reg</v>
      </c>
      <c r="BD27" s="107">
        <f t="shared" si="9"/>
        <v>2</v>
      </c>
      <c r="BE27" s="108">
        <f t="shared" si="10"/>
        <v>2</v>
      </c>
      <c r="BF27" s="27" t="str">
        <f t="shared" si="11"/>
        <v/>
      </c>
      <c r="BG27" s="27" t="str">
        <f t="shared" si="12"/>
        <v>Likely</v>
      </c>
      <c r="BH27" t="str">
        <f t="shared" si="13"/>
        <v>ML</v>
      </c>
      <c r="BI27">
        <f t="shared" si="14"/>
        <v>17</v>
      </c>
      <c r="BJ27">
        <f t="shared" si="15"/>
        <v>18</v>
      </c>
      <c r="BK27">
        <f t="shared" si="16"/>
        <v>0</v>
      </c>
      <c r="BL27">
        <f t="shared" si="17"/>
        <v>0</v>
      </c>
      <c r="BM27">
        <f t="shared" si="19"/>
        <v>-1</v>
      </c>
      <c r="BN27">
        <f t="shared" si="18"/>
        <v>-1</v>
      </c>
    </row>
    <row r="28" spans="1:66">
      <c r="A28" s="95" t="str">
        <f>IF(ISERROR(VLOOKUP(E28,CON!$C$53:$C$70,1,FALSE)),IF(ISERROR(VLOOKUP(E28,'PSP-AAA'!$C$51:$C$72,1,FALSE)),IF(ISERROR(VLOOKUP(E28,'NH-AA'!$C$51:$C$72,1,FALSE)),IF(ISERROR(VLOOKUP(E28,'CRG-A'!$C$51:$C$72,1,FALSE)),IF(ISERROR(VLOOKUP(E28,'PC-S A'!$C$51:$C$72,1,FALSE)),"","S A"),"A"),"AA"),"AAA"),"ML")</f>
        <v>AA</v>
      </c>
      <c r="C28" t="str">
        <f t="shared" si="2"/>
        <v>K</v>
      </c>
      <c r="D28" s="27" t="s">
        <v>107</v>
      </c>
      <c r="E28" s="27" t="s">
        <v>473</v>
      </c>
      <c r="F28" s="27" t="s">
        <v>372</v>
      </c>
      <c r="G28" s="27" t="s">
        <v>209</v>
      </c>
      <c r="H28" s="27">
        <v>22</v>
      </c>
      <c r="I28" s="27" t="s">
        <v>104</v>
      </c>
      <c r="J28" s="28" t="s">
        <v>104</v>
      </c>
      <c r="K28" s="27" t="s">
        <v>42</v>
      </c>
      <c r="L28" s="27" t="s">
        <v>40</v>
      </c>
      <c r="M28" s="27" t="s">
        <v>224</v>
      </c>
      <c r="N28" s="28" t="s">
        <v>227</v>
      </c>
      <c r="O28" s="27">
        <v>10</v>
      </c>
      <c r="P28" s="27">
        <v>4</v>
      </c>
      <c r="Q28" s="28">
        <v>3</v>
      </c>
      <c r="R28" s="27">
        <v>10</v>
      </c>
      <c r="S28" s="27">
        <v>4</v>
      </c>
      <c r="T28" s="28">
        <v>4</v>
      </c>
      <c r="U28" s="27">
        <v>10</v>
      </c>
      <c r="V28" s="27">
        <v>10</v>
      </c>
      <c r="W28" s="27" t="s">
        <v>41</v>
      </c>
      <c r="X28" s="27" t="s">
        <v>41</v>
      </c>
      <c r="Y28" s="27">
        <v>6</v>
      </c>
      <c r="Z28" s="27">
        <v>7</v>
      </c>
      <c r="AA28" s="27" t="s">
        <v>41</v>
      </c>
      <c r="AB28" s="27" t="s">
        <v>41</v>
      </c>
      <c r="AC28" s="27" t="s">
        <v>41</v>
      </c>
      <c r="AD28" s="27" t="s">
        <v>41</v>
      </c>
      <c r="AE28" s="27" t="s">
        <v>41</v>
      </c>
      <c r="AF28" s="27" t="s">
        <v>41</v>
      </c>
      <c r="AG28" s="27" t="s">
        <v>41</v>
      </c>
      <c r="AH28" s="27" t="s">
        <v>41</v>
      </c>
      <c r="AI28" s="27" t="s">
        <v>41</v>
      </c>
      <c r="AJ28" s="27" t="s">
        <v>41</v>
      </c>
      <c r="AK28" s="27" t="s">
        <v>41</v>
      </c>
      <c r="AL28" s="27" t="s">
        <v>41</v>
      </c>
      <c r="AM28" s="27" t="s">
        <v>41</v>
      </c>
      <c r="AN28" s="27" t="s">
        <v>41</v>
      </c>
      <c r="AO28" s="27" t="s">
        <v>41</v>
      </c>
      <c r="AP28" s="27" t="s">
        <v>41</v>
      </c>
      <c r="AQ28" s="27" t="s">
        <v>41</v>
      </c>
      <c r="AR28" s="28" t="s">
        <v>41</v>
      </c>
      <c r="AS28" s="27" t="s">
        <v>402</v>
      </c>
      <c r="AT28" s="27">
        <v>1</v>
      </c>
      <c r="AU28" s="82">
        <v>0.44</v>
      </c>
      <c r="AV28" s="86" t="s">
        <v>41</v>
      </c>
      <c r="AW28" s="28">
        <v>0</v>
      </c>
      <c r="AX28" s="29">
        <f t="shared" si="3"/>
        <v>5.916666666666667</v>
      </c>
      <c r="AY28" s="30" t="str">
        <f t="shared" si="4"/>
        <v>Reg</v>
      </c>
      <c r="AZ28" s="30">
        <f t="shared" si="5"/>
        <v>6.25</v>
      </c>
      <c r="BA28" s="30" t="str">
        <f t="shared" si="6"/>
        <v>Reg</v>
      </c>
      <c r="BB28" s="30">
        <f t="shared" si="7"/>
        <v>6.25</v>
      </c>
      <c r="BC28" s="30" t="str">
        <f t="shared" si="8"/>
        <v>Reg</v>
      </c>
      <c r="BD28" s="107">
        <f t="shared" si="9"/>
        <v>2</v>
      </c>
      <c r="BE28" s="108">
        <f t="shared" si="10"/>
        <v>2</v>
      </c>
      <c r="BF28" s="27" t="str">
        <f t="shared" si="11"/>
        <v/>
      </c>
      <c r="BG28" s="27" t="str">
        <f t="shared" si="12"/>
        <v>Likely</v>
      </c>
      <c r="BH28" t="str">
        <f t="shared" si="13"/>
        <v>ML</v>
      </c>
      <c r="BI28">
        <f t="shared" si="14"/>
        <v>17</v>
      </c>
      <c r="BJ28">
        <f t="shared" si="15"/>
        <v>18</v>
      </c>
      <c r="BK28">
        <f t="shared" si="16"/>
        <v>0</v>
      </c>
      <c r="BL28">
        <f t="shared" si="17"/>
        <v>0</v>
      </c>
      <c r="BM28">
        <f t="shared" si="19"/>
        <v>-1</v>
      </c>
      <c r="BN28">
        <f t="shared" si="18"/>
        <v>-1</v>
      </c>
    </row>
    <row r="29" spans="1:66">
      <c r="A29" s="95" t="str">
        <f>IF(ISERROR(VLOOKUP(E29,CON!$C$53:$C$70,1,FALSE)),IF(ISERROR(VLOOKUP(E29,'PSP-AAA'!$C$51:$C$72,1,FALSE)),IF(ISERROR(VLOOKUP(E29,'NH-AA'!$C$51:$C$72,1,FALSE)),IF(ISERROR(VLOOKUP(E29,'CRG-A'!$C$51:$C$72,1,FALSE)),IF(ISERROR(VLOOKUP(E29,'PC-S A'!$C$51:$C$72,1,FALSE)),"","S A"),"A"),"AA"),"AAA"),"ML")</f>
        <v>AA</v>
      </c>
      <c r="C29" t="str">
        <f t="shared" si="2"/>
        <v>T</v>
      </c>
      <c r="D29" s="27" t="s">
        <v>108</v>
      </c>
      <c r="E29" s="27" t="s">
        <v>528</v>
      </c>
      <c r="F29" s="27" t="s">
        <v>373</v>
      </c>
      <c r="G29" s="27" t="s">
        <v>210</v>
      </c>
      <c r="H29" s="27">
        <v>22</v>
      </c>
      <c r="I29" s="27" t="s">
        <v>104</v>
      </c>
      <c r="J29" s="28" t="s">
        <v>104</v>
      </c>
      <c r="K29" s="27" t="s">
        <v>42</v>
      </c>
      <c r="L29" s="27" t="s">
        <v>40</v>
      </c>
      <c r="M29" s="27" t="s">
        <v>225</v>
      </c>
      <c r="N29" s="28" t="s">
        <v>226</v>
      </c>
      <c r="O29" s="27">
        <v>8</v>
      </c>
      <c r="P29" s="27">
        <v>5</v>
      </c>
      <c r="Q29" s="28">
        <v>3</v>
      </c>
      <c r="R29" s="27">
        <v>8</v>
      </c>
      <c r="S29" s="27">
        <v>6</v>
      </c>
      <c r="T29" s="28">
        <v>5</v>
      </c>
      <c r="U29" s="27">
        <v>8</v>
      </c>
      <c r="V29" s="27">
        <v>8</v>
      </c>
      <c r="W29" s="27">
        <v>7</v>
      </c>
      <c r="X29" s="27">
        <v>7</v>
      </c>
      <c r="Y29" s="27">
        <v>5</v>
      </c>
      <c r="Z29" s="27">
        <v>6</v>
      </c>
      <c r="AA29" s="27" t="s">
        <v>41</v>
      </c>
      <c r="AB29" s="27" t="s">
        <v>41</v>
      </c>
      <c r="AC29" s="27" t="s">
        <v>41</v>
      </c>
      <c r="AD29" s="27" t="s">
        <v>41</v>
      </c>
      <c r="AE29" s="27" t="s">
        <v>41</v>
      </c>
      <c r="AF29" s="27" t="s">
        <v>41</v>
      </c>
      <c r="AG29" s="27" t="s">
        <v>41</v>
      </c>
      <c r="AH29" s="27" t="s">
        <v>41</v>
      </c>
      <c r="AI29" s="27">
        <v>8</v>
      </c>
      <c r="AJ29" s="27">
        <v>8</v>
      </c>
      <c r="AK29" s="27" t="s">
        <v>41</v>
      </c>
      <c r="AL29" s="27" t="s">
        <v>41</v>
      </c>
      <c r="AM29" s="27" t="s">
        <v>41</v>
      </c>
      <c r="AN29" s="27" t="s">
        <v>41</v>
      </c>
      <c r="AO29" s="27" t="s">
        <v>41</v>
      </c>
      <c r="AP29" s="27" t="s">
        <v>41</v>
      </c>
      <c r="AQ29" s="27" t="s">
        <v>41</v>
      </c>
      <c r="AR29" s="28" t="s">
        <v>41</v>
      </c>
      <c r="AS29" s="27" t="s">
        <v>434</v>
      </c>
      <c r="AT29" s="27">
        <v>7</v>
      </c>
      <c r="AU29" s="82">
        <v>0.54</v>
      </c>
      <c r="AV29" s="86" t="s">
        <v>41</v>
      </c>
      <c r="AW29" s="28">
        <v>0</v>
      </c>
      <c r="AX29" s="29">
        <f t="shared" si="3"/>
        <v>5.833333333333333</v>
      </c>
      <c r="AY29" s="30" t="str">
        <f t="shared" si="4"/>
        <v>Reg</v>
      </c>
      <c r="AZ29" s="30">
        <f t="shared" si="5"/>
        <v>6.833333333333333</v>
      </c>
      <c r="BA29" s="30" t="str">
        <f t="shared" si="6"/>
        <v>GoodReg</v>
      </c>
      <c r="BB29" s="30">
        <f t="shared" si="7"/>
        <v>6.833333333333333</v>
      </c>
      <c r="BC29" s="30" t="str">
        <f t="shared" si="8"/>
        <v>GoodReg</v>
      </c>
      <c r="BD29" s="107">
        <f t="shared" si="9"/>
        <v>4</v>
      </c>
      <c r="BE29" s="108">
        <f t="shared" si="10"/>
        <v>3.5</v>
      </c>
      <c r="BF29" s="27" t="str">
        <f t="shared" si="11"/>
        <v/>
      </c>
      <c r="BG29" s="27" t="str">
        <f t="shared" si="12"/>
        <v>Likely</v>
      </c>
      <c r="BH29" t="str">
        <f t="shared" si="13"/>
        <v>AAA</v>
      </c>
      <c r="BI29">
        <f t="shared" si="14"/>
        <v>16</v>
      </c>
      <c r="BJ29">
        <f t="shared" si="15"/>
        <v>19</v>
      </c>
      <c r="BK29">
        <f t="shared" si="16"/>
        <v>0</v>
      </c>
      <c r="BL29">
        <f t="shared" si="17"/>
        <v>-1</v>
      </c>
      <c r="BM29">
        <f t="shared" si="19"/>
        <v>-2</v>
      </c>
      <c r="BN29">
        <f t="shared" si="18"/>
        <v>-3</v>
      </c>
    </row>
    <row r="30" spans="1:66">
      <c r="A30" s="95" t="str">
        <f>IF(ISERROR(VLOOKUP(E30,CON!$C$53:$C$70,1,FALSE)),IF(ISERROR(VLOOKUP(E30,'PSP-AAA'!$C$51:$C$72,1,FALSE)),IF(ISERROR(VLOOKUP(E30,'NH-AA'!$C$51:$C$72,1,FALSE)),IF(ISERROR(VLOOKUP(E30,'CRG-A'!$C$51:$C$72,1,FALSE)),IF(ISERROR(VLOOKUP(E30,'PC-S A'!$C$51:$C$72,1,FALSE)),"","S A"),"A"),"AA"),"AAA"),"ML")</f>
        <v>AA</v>
      </c>
      <c r="C30" t="str">
        <f t="shared" si="2"/>
        <v>K</v>
      </c>
      <c r="D30" s="27" t="s">
        <v>107</v>
      </c>
      <c r="E30" s="27" t="s">
        <v>436</v>
      </c>
      <c r="F30" s="27" t="s">
        <v>373</v>
      </c>
      <c r="G30" s="27" t="s">
        <v>210</v>
      </c>
      <c r="H30" s="27">
        <v>23</v>
      </c>
      <c r="I30" s="27" t="s">
        <v>104</v>
      </c>
      <c r="J30" s="28" t="s">
        <v>104</v>
      </c>
      <c r="K30" s="27" t="s">
        <v>47</v>
      </c>
      <c r="L30" s="27" t="s">
        <v>42</v>
      </c>
      <c r="M30" s="27" t="s">
        <v>223</v>
      </c>
      <c r="N30" s="28" t="s">
        <v>225</v>
      </c>
      <c r="O30" s="27">
        <v>5</v>
      </c>
      <c r="P30" s="27">
        <v>7</v>
      </c>
      <c r="Q30" s="28">
        <v>3</v>
      </c>
      <c r="R30" s="27">
        <v>5</v>
      </c>
      <c r="S30" s="27">
        <v>7</v>
      </c>
      <c r="T30" s="28">
        <v>4</v>
      </c>
      <c r="U30" s="27">
        <v>7</v>
      </c>
      <c r="V30" s="27">
        <v>7</v>
      </c>
      <c r="W30" s="27">
        <v>3</v>
      </c>
      <c r="X30" s="27">
        <v>4</v>
      </c>
      <c r="Y30" s="27" t="s">
        <v>41</v>
      </c>
      <c r="Z30" s="27" t="s">
        <v>41</v>
      </c>
      <c r="AA30" s="27" t="s">
        <v>41</v>
      </c>
      <c r="AB30" s="27" t="s">
        <v>41</v>
      </c>
      <c r="AC30" s="27" t="s">
        <v>41</v>
      </c>
      <c r="AD30" s="27" t="s">
        <v>41</v>
      </c>
      <c r="AE30" s="27" t="s">
        <v>41</v>
      </c>
      <c r="AF30" s="27" t="s">
        <v>41</v>
      </c>
      <c r="AG30" s="27" t="s">
        <v>41</v>
      </c>
      <c r="AH30" s="27" t="s">
        <v>41</v>
      </c>
      <c r="AI30" s="27" t="s">
        <v>41</v>
      </c>
      <c r="AJ30" s="27" t="s">
        <v>41</v>
      </c>
      <c r="AK30" s="27" t="s">
        <v>41</v>
      </c>
      <c r="AL30" s="27" t="s">
        <v>41</v>
      </c>
      <c r="AM30" s="27" t="s">
        <v>41</v>
      </c>
      <c r="AN30" s="27" t="s">
        <v>41</v>
      </c>
      <c r="AO30" s="27" t="s">
        <v>41</v>
      </c>
      <c r="AP30" s="27" t="s">
        <v>41</v>
      </c>
      <c r="AQ30" s="27" t="s">
        <v>41</v>
      </c>
      <c r="AR30" s="28" t="s">
        <v>41</v>
      </c>
      <c r="AS30" s="27" t="s">
        <v>242</v>
      </c>
      <c r="AT30" s="27">
        <v>1</v>
      </c>
      <c r="AU30" s="82">
        <v>0.64</v>
      </c>
      <c r="AV30" s="86" t="s">
        <v>41</v>
      </c>
      <c r="AW30" s="28" t="s">
        <v>45</v>
      </c>
      <c r="AX30" s="29">
        <f t="shared" si="3"/>
        <v>5.5</v>
      </c>
      <c r="AY30" s="30" t="str">
        <f t="shared" si="4"/>
        <v>Reg</v>
      </c>
      <c r="AZ30" s="30">
        <f t="shared" si="5"/>
        <v>5.833333333333333</v>
      </c>
      <c r="BA30" s="30" t="str">
        <f t="shared" si="6"/>
        <v>Reg</v>
      </c>
      <c r="BB30" s="30">
        <f t="shared" si="7"/>
        <v>5.833333333333333</v>
      </c>
      <c r="BC30" s="30" t="str">
        <f t="shared" si="8"/>
        <v>Reg</v>
      </c>
      <c r="BD30" s="107">
        <f t="shared" si="9"/>
        <v>2</v>
      </c>
      <c r="BE30" s="108">
        <f t="shared" si="10"/>
        <v>1</v>
      </c>
      <c r="BF30" s="27" t="str">
        <f t="shared" si="11"/>
        <v/>
      </c>
      <c r="BG30" s="27" t="str">
        <f t="shared" si="12"/>
        <v>Possible</v>
      </c>
      <c r="BH30" t="str">
        <f t="shared" si="13"/>
        <v>AAA</v>
      </c>
      <c r="BI30">
        <f t="shared" si="14"/>
        <v>15</v>
      </c>
      <c r="BJ30">
        <f t="shared" si="15"/>
        <v>16</v>
      </c>
      <c r="BK30">
        <f t="shared" si="16"/>
        <v>0</v>
      </c>
      <c r="BL30">
        <f t="shared" si="17"/>
        <v>0</v>
      </c>
      <c r="BM30">
        <f t="shared" si="19"/>
        <v>-1</v>
      </c>
      <c r="BN30">
        <f t="shared" si="18"/>
        <v>-1</v>
      </c>
    </row>
    <row r="31" spans="1:66">
      <c r="A31" s="95" t="str">
        <f>IF(ISERROR(VLOOKUP(E31,CON!$C$53:$C$70,1,FALSE)),IF(ISERROR(VLOOKUP(E31,'PSP-AAA'!$C$51:$C$72,1,FALSE)),IF(ISERROR(VLOOKUP(E31,'NH-AA'!$C$51:$C$72,1,FALSE)),IF(ISERROR(VLOOKUP(E31,'CRG-A'!$C$51:$C$72,1,FALSE)),IF(ISERROR(VLOOKUP(E31,'PC-S A'!$C$51:$C$72,1,FALSE)),"","S A"),"A"),"AA"),"AAA"),"ML")</f>
        <v>AA</v>
      </c>
      <c r="C31" t="str">
        <f t="shared" si="2"/>
        <v>T</v>
      </c>
      <c r="D31" s="27" t="s">
        <v>108</v>
      </c>
      <c r="E31" s="27" t="s">
        <v>404</v>
      </c>
      <c r="F31" s="27" t="s">
        <v>372</v>
      </c>
      <c r="G31" s="27" t="s">
        <v>209</v>
      </c>
      <c r="H31" s="27">
        <v>23</v>
      </c>
      <c r="I31" s="27" t="s">
        <v>103</v>
      </c>
      <c r="J31" s="28" t="s">
        <v>103</v>
      </c>
      <c r="K31" s="27" t="s">
        <v>47</v>
      </c>
      <c r="L31" s="27" t="s">
        <v>42</v>
      </c>
      <c r="M31" s="27" t="s">
        <v>226</v>
      </c>
      <c r="N31" s="28" t="s">
        <v>226</v>
      </c>
      <c r="O31" s="27">
        <v>6</v>
      </c>
      <c r="P31" s="27">
        <v>4</v>
      </c>
      <c r="Q31" s="28">
        <v>5</v>
      </c>
      <c r="R31" s="27">
        <v>6</v>
      </c>
      <c r="S31" s="27">
        <v>4</v>
      </c>
      <c r="T31" s="28">
        <v>5</v>
      </c>
      <c r="U31" s="27">
        <v>7</v>
      </c>
      <c r="V31" s="27">
        <v>7</v>
      </c>
      <c r="W31" s="27">
        <v>7</v>
      </c>
      <c r="X31" s="27">
        <v>7</v>
      </c>
      <c r="Y31" s="27">
        <v>6</v>
      </c>
      <c r="Z31" s="27">
        <v>6</v>
      </c>
      <c r="AA31" s="27" t="s">
        <v>41</v>
      </c>
      <c r="AB31" s="27" t="s">
        <v>41</v>
      </c>
      <c r="AC31" s="27">
        <v>5</v>
      </c>
      <c r="AD31" s="27">
        <v>6</v>
      </c>
      <c r="AE31" s="27" t="s">
        <v>41</v>
      </c>
      <c r="AF31" s="27" t="s">
        <v>41</v>
      </c>
      <c r="AG31" s="27" t="s">
        <v>41</v>
      </c>
      <c r="AH31" s="27" t="s">
        <v>41</v>
      </c>
      <c r="AI31" s="27" t="s">
        <v>41</v>
      </c>
      <c r="AJ31" s="27" t="s">
        <v>41</v>
      </c>
      <c r="AK31" s="27" t="s">
        <v>41</v>
      </c>
      <c r="AL31" s="27" t="s">
        <v>41</v>
      </c>
      <c r="AM31" s="27" t="s">
        <v>41</v>
      </c>
      <c r="AN31" s="27" t="s">
        <v>41</v>
      </c>
      <c r="AO31" s="27" t="s">
        <v>41</v>
      </c>
      <c r="AP31" s="27" t="s">
        <v>41</v>
      </c>
      <c r="AQ31" s="27" t="s">
        <v>41</v>
      </c>
      <c r="AR31" s="28" t="s">
        <v>41</v>
      </c>
      <c r="AS31" s="27" t="s">
        <v>5</v>
      </c>
      <c r="AT31" s="27">
        <v>10</v>
      </c>
      <c r="AU31" s="82">
        <v>0.48</v>
      </c>
      <c r="AV31" s="86" t="s">
        <v>41</v>
      </c>
      <c r="AW31" s="28">
        <v>0</v>
      </c>
      <c r="AX31" s="29">
        <f t="shared" si="3"/>
        <v>5.5</v>
      </c>
      <c r="AY31" s="30" t="str">
        <f t="shared" si="4"/>
        <v>Reg</v>
      </c>
      <c r="AZ31" s="30">
        <f t="shared" si="5"/>
        <v>5.5</v>
      </c>
      <c r="BA31" s="30" t="str">
        <f t="shared" si="6"/>
        <v>Reg</v>
      </c>
      <c r="BB31" s="30">
        <f t="shared" si="7"/>
        <v>5.5</v>
      </c>
      <c r="BC31" s="30" t="str">
        <f t="shared" si="8"/>
        <v>Reg</v>
      </c>
      <c r="BD31" s="107">
        <f t="shared" si="9"/>
        <v>4</v>
      </c>
      <c r="BE31" s="108">
        <f t="shared" si="10"/>
        <v>3.5</v>
      </c>
      <c r="BF31" s="27" t="str">
        <f t="shared" si="11"/>
        <v/>
      </c>
      <c r="BG31" s="27" t="str">
        <f t="shared" si="12"/>
        <v>Possible</v>
      </c>
      <c r="BH31" t="str">
        <f t="shared" si="13"/>
        <v>AAA</v>
      </c>
      <c r="BI31">
        <f t="shared" si="14"/>
        <v>15</v>
      </c>
      <c r="BJ31">
        <f t="shared" si="15"/>
        <v>15</v>
      </c>
      <c r="BK31">
        <f t="shared" si="16"/>
        <v>0</v>
      </c>
      <c r="BL31">
        <f t="shared" si="17"/>
        <v>0</v>
      </c>
      <c r="BM31">
        <f t="shared" si="19"/>
        <v>0</v>
      </c>
      <c r="BN31">
        <f t="shared" si="18"/>
        <v>0</v>
      </c>
    </row>
    <row r="32" spans="1:66">
      <c r="A32" s="95" t="str">
        <f>IF(ISERROR(VLOOKUP(E32,CON!$C$53:$C$70,1,FALSE)),IF(ISERROR(VLOOKUP(E32,'PSP-AAA'!$C$51:$C$72,1,FALSE)),IF(ISERROR(VLOOKUP(E32,'NH-AA'!$C$51:$C$72,1,FALSE)),IF(ISERROR(VLOOKUP(E32,'CRG-A'!$C$51:$C$72,1,FALSE)),IF(ISERROR(VLOOKUP(E32,'PC-S A'!$C$51:$C$72,1,FALSE)),"","S A"),"A"),"AA"),"AAA"),"ML")</f>
        <v>AA</v>
      </c>
      <c r="C32" t="str">
        <f t="shared" si="2"/>
        <v>K</v>
      </c>
      <c r="D32" s="27" t="s">
        <v>108</v>
      </c>
      <c r="E32" s="27" t="s">
        <v>475</v>
      </c>
      <c r="F32" s="27" t="s">
        <v>373</v>
      </c>
      <c r="G32" s="27" t="s">
        <v>210</v>
      </c>
      <c r="H32" s="27">
        <v>23</v>
      </c>
      <c r="I32" s="27" t="s">
        <v>103</v>
      </c>
      <c r="J32" s="28" t="s">
        <v>103</v>
      </c>
      <c r="K32" s="27" t="s">
        <v>47</v>
      </c>
      <c r="L32" s="27" t="s">
        <v>42</v>
      </c>
      <c r="M32" s="27" t="s">
        <v>225</v>
      </c>
      <c r="N32" s="28" t="s">
        <v>224</v>
      </c>
      <c r="O32" s="27">
        <v>6</v>
      </c>
      <c r="P32" s="27">
        <v>4</v>
      </c>
      <c r="Q32" s="28">
        <v>3</v>
      </c>
      <c r="R32" s="27">
        <v>6</v>
      </c>
      <c r="S32" s="27">
        <v>4</v>
      </c>
      <c r="T32" s="28">
        <v>6</v>
      </c>
      <c r="U32" s="27">
        <v>7</v>
      </c>
      <c r="V32" s="27">
        <v>7</v>
      </c>
      <c r="W32" s="27">
        <v>7</v>
      </c>
      <c r="X32" s="27">
        <v>7</v>
      </c>
      <c r="Y32" s="27" t="s">
        <v>41</v>
      </c>
      <c r="Z32" s="27" t="s">
        <v>41</v>
      </c>
      <c r="AA32" s="27">
        <v>3</v>
      </c>
      <c r="AB32" s="27">
        <v>3</v>
      </c>
      <c r="AC32" s="27" t="s">
        <v>41</v>
      </c>
      <c r="AD32" s="27" t="s">
        <v>41</v>
      </c>
      <c r="AE32" s="27" t="s">
        <v>41</v>
      </c>
      <c r="AF32" s="27" t="s">
        <v>41</v>
      </c>
      <c r="AG32" s="27" t="s">
        <v>41</v>
      </c>
      <c r="AH32" s="27" t="s">
        <v>41</v>
      </c>
      <c r="AI32" s="27">
        <v>6</v>
      </c>
      <c r="AJ32" s="27">
        <v>6</v>
      </c>
      <c r="AK32" s="27" t="s">
        <v>41</v>
      </c>
      <c r="AL32" s="27" t="s">
        <v>41</v>
      </c>
      <c r="AM32" s="27" t="s">
        <v>41</v>
      </c>
      <c r="AN32" s="27" t="s">
        <v>41</v>
      </c>
      <c r="AO32" s="27" t="s">
        <v>41</v>
      </c>
      <c r="AP32" s="27" t="s">
        <v>41</v>
      </c>
      <c r="AQ32" s="27" t="s">
        <v>41</v>
      </c>
      <c r="AR32" s="28" t="s">
        <v>41</v>
      </c>
      <c r="AS32" s="27" t="s">
        <v>15</v>
      </c>
      <c r="AT32" s="27">
        <v>9</v>
      </c>
      <c r="AU32" s="82">
        <v>0.47</v>
      </c>
      <c r="AV32" s="86" t="s">
        <v>41</v>
      </c>
      <c r="AW32" s="28">
        <v>0</v>
      </c>
      <c r="AX32" s="29">
        <f t="shared" si="3"/>
        <v>4.833333333333333</v>
      </c>
      <c r="AY32" s="30" t="str">
        <f t="shared" si="4"/>
        <v>Bench</v>
      </c>
      <c r="AZ32" s="30">
        <f t="shared" si="5"/>
        <v>5.833333333333333</v>
      </c>
      <c r="BA32" s="30" t="str">
        <f t="shared" si="6"/>
        <v>Reg</v>
      </c>
      <c r="BB32" s="30">
        <f t="shared" si="7"/>
        <v>5.833333333333333</v>
      </c>
      <c r="BC32" s="30" t="str">
        <f t="shared" si="8"/>
        <v>Reg</v>
      </c>
      <c r="BD32" s="107">
        <f t="shared" si="9"/>
        <v>4</v>
      </c>
      <c r="BE32" s="108">
        <f t="shared" si="10"/>
        <v>3</v>
      </c>
      <c r="BF32" s="27" t="str">
        <f t="shared" si="11"/>
        <v/>
      </c>
      <c r="BG32" s="27" t="str">
        <f t="shared" si="12"/>
        <v>Possible</v>
      </c>
      <c r="BH32" t="str">
        <f t="shared" si="13"/>
        <v>AA</v>
      </c>
      <c r="BI32">
        <f t="shared" si="14"/>
        <v>13</v>
      </c>
      <c r="BJ32">
        <f t="shared" si="15"/>
        <v>16</v>
      </c>
      <c r="BK32">
        <f t="shared" si="16"/>
        <v>0</v>
      </c>
      <c r="BL32">
        <f t="shared" si="17"/>
        <v>0</v>
      </c>
      <c r="BM32">
        <f t="shared" si="19"/>
        <v>-3</v>
      </c>
      <c r="BN32">
        <f t="shared" si="18"/>
        <v>-3</v>
      </c>
    </row>
    <row r="33" spans="1:66">
      <c r="A33" s="95" t="str">
        <f>IF(ISERROR(VLOOKUP(E33,CON!$C$53:$C$70,1,FALSE)),IF(ISERROR(VLOOKUP(E33,'PSP-AAA'!$C$51:$C$72,1,FALSE)),IF(ISERROR(VLOOKUP(E33,'NH-AA'!$C$51:$C$72,1,FALSE)),IF(ISERROR(VLOOKUP(E33,'CRG-A'!$C$51:$C$72,1,FALSE)),IF(ISERROR(VLOOKUP(E33,'PC-S A'!$C$51:$C$72,1,FALSE)),"","S A"),"A"),"AA"),"AAA"),"ML")</f>
        <v>A</v>
      </c>
      <c r="C33" t="str">
        <f t="shared" si="2"/>
        <v>K</v>
      </c>
      <c r="D33" s="27" t="s">
        <v>108</v>
      </c>
      <c r="E33" s="27" t="s">
        <v>530</v>
      </c>
      <c r="F33" s="27" t="s">
        <v>370</v>
      </c>
      <c r="G33" s="27" t="s">
        <v>316</v>
      </c>
      <c r="H33" s="27">
        <v>23</v>
      </c>
      <c r="I33" s="27" t="s">
        <v>104</v>
      </c>
      <c r="J33" s="28" t="s">
        <v>104</v>
      </c>
      <c r="K33" s="27" t="s">
        <v>47</v>
      </c>
      <c r="L33" s="27" t="s">
        <v>42</v>
      </c>
      <c r="M33" s="27" t="s">
        <v>223</v>
      </c>
      <c r="N33" s="28" t="s">
        <v>224</v>
      </c>
      <c r="O33" s="27">
        <v>6</v>
      </c>
      <c r="P33" s="27">
        <v>4</v>
      </c>
      <c r="Q33" s="28">
        <v>3</v>
      </c>
      <c r="R33" s="27">
        <v>6</v>
      </c>
      <c r="S33" s="27">
        <v>4</v>
      </c>
      <c r="T33" s="28">
        <v>5</v>
      </c>
      <c r="U33" s="27">
        <v>7</v>
      </c>
      <c r="V33" s="27">
        <v>7</v>
      </c>
      <c r="W33" s="27">
        <v>4</v>
      </c>
      <c r="X33" s="27">
        <v>5</v>
      </c>
      <c r="Y33" s="27">
        <v>6</v>
      </c>
      <c r="Z33" s="27">
        <v>6</v>
      </c>
      <c r="AA33" s="27">
        <v>4</v>
      </c>
      <c r="AB33" s="27">
        <v>4</v>
      </c>
      <c r="AC33" s="27" t="s">
        <v>41</v>
      </c>
      <c r="AD33" s="27" t="s">
        <v>41</v>
      </c>
      <c r="AE33" s="27" t="s">
        <v>41</v>
      </c>
      <c r="AF33" s="27" t="s">
        <v>41</v>
      </c>
      <c r="AG33" s="27" t="s">
        <v>41</v>
      </c>
      <c r="AH33" s="27" t="s">
        <v>41</v>
      </c>
      <c r="AI33" s="27" t="s">
        <v>41</v>
      </c>
      <c r="AJ33" s="27" t="s">
        <v>41</v>
      </c>
      <c r="AK33" s="27" t="s">
        <v>41</v>
      </c>
      <c r="AL33" s="27" t="s">
        <v>41</v>
      </c>
      <c r="AM33" s="27" t="s">
        <v>41</v>
      </c>
      <c r="AN33" s="27" t="s">
        <v>41</v>
      </c>
      <c r="AO33" s="27" t="s">
        <v>41</v>
      </c>
      <c r="AP33" s="27" t="s">
        <v>41</v>
      </c>
      <c r="AQ33" s="27" t="s">
        <v>41</v>
      </c>
      <c r="AR33" s="28" t="s">
        <v>41</v>
      </c>
      <c r="AS33" s="27" t="s">
        <v>434</v>
      </c>
      <c r="AT33" s="27">
        <v>7</v>
      </c>
      <c r="AU33" s="82">
        <v>0.42</v>
      </c>
      <c r="AV33" s="86" t="s">
        <v>41</v>
      </c>
      <c r="AW33" s="28">
        <v>0</v>
      </c>
      <c r="AX33" s="29">
        <f t="shared" si="3"/>
        <v>4.833333333333333</v>
      </c>
      <c r="AY33" s="30" t="str">
        <f t="shared" si="4"/>
        <v>Bench</v>
      </c>
      <c r="AZ33" s="30">
        <f t="shared" si="5"/>
        <v>5.5</v>
      </c>
      <c r="BA33" s="30" t="str">
        <f t="shared" si="6"/>
        <v>Reg</v>
      </c>
      <c r="BB33" s="30">
        <f t="shared" si="7"/>
        <v>5.5</v>
      </c>
      <c r="BC33" s="30" t="str">
        <f t="shared" si="8"/>
        <v>Reg</v>
      </c>
      <c r="BD33" s="107">
        <f t="shared" si="9"/>
        <v>4</v>
      </c>
      <c r="BE33" s="108">
        <f t="shared" si="10"/>
        <v>2</v>
      </c>
      <c r="BF33" s="27" t="str">
        <f t="shared" si="11"/>
        <v/>
      </c>
      <c r="BG33" s="27" t="str">
        <f t="shared" si="12"/>
        <v>Possible</v>
      </c>
      <c r="BH33" t="str">
        <f t="shared" si="13"/>
        <v>AA</v>
      </c>
      <c r="BI33">
        <f t="shared" si="14"/>
        <v>13</v>
      </c>
      <c r="BJ33">
        <f t="shared" si="15"/>
        <v>15</v>
      </c>
      <c r="BK33">
        <f t="shared" si="16"/>
        <v>0</v>
      </c>
      <c r="BL33">
        <f t="shared" si="17"/>
        <v>0</v>
      </c>
      <c r="BM33">
        <f t="shared" si="19"/>
        <v>-2</v>
      </c>
      <c r="BN33">
        <f t="shared" si="18"/>
        <v>-2</v>
      </c>
    </row>
    <row r="34" spans="1:66">
      <c r="A34" s="95" t="str">
        <f>IF(ISERROR(VLOOKUP(E34,CON!$C$53:$C$70,1,FALSE)),IF(ISERROR(VLOOKUP(E34,'PSP-AAA'!$C$51:$C$72,1,FALSE)),IF(ISERROR(VLOOKUP(E34,'NH-AA'!$C$51:$C$72,1,FALSE)),IF(ISERROR(VLOOKUP(E34,'CRG-A'!$C$51:$C$72,1,FALSE)),IF(ISERROR(VLOOKUP(E34,'PC-S A'!$C$51:$C$72,1,FALSE)),"","S A"),"A"),"AA"),"AAA"),"ML")</f>
        <v>A</v>
      </c>
      <c r="C34" t="str">
        <f t="shared" si="2"/>
        <v>K</v>
      </c>
      <c r="D34" s="27" t="s">
        <v>108</v>
      </c>
      <c r="E34" s="27" t="s">
        <v>531</v>
      </c>
      <c r="F34" s="27" t="s">
        <v>370</v>
      </c>
      <c r="G34" s="27" t="s">
        <v>316</v>
      </c>
      <c r="H34" s="27">
        <v>22</v>
      </c>
      <c r="I34" s="27" t="s">
        <v>103</v>
      </c>
      <c r="J34" s="28" t="s">
        <v>103</v>
      </c>
      <c r="K34" s="27" t="s">
        <v>47</v>
      </c>
      <c r="L34" s="27" t="s">
        <v>47</v>
      </c>
      <c r="M34" s="27" t="s">
        <v>223</v>
      </c>
      <c r="N34" s="28" t="s">
        <v>223</v>
      </c>
      <c r="O34" s="27">
        <v>5</v>
      </c>
      <c r="P34" s="27">
        <v>4</v>
      </c>
      <c r="Q34" s="28">
        <v>1</v>
      </c>
      <c r="R34" s="27">
        <v>6</v>
      </c>
      <c r="S34" s="27">
        <v>4</v>
      </c>
      <c r="T34" s="28">
        <v>3</v>
      </c>
      <c r="U34" s="27">
        <v>7</v>
      </c>
      <c r="V34" s="27">
        <v>7</v>
      </c>
      <c r="W34" s="27">
        <v>4</v>
      </c>
      <c r="X34" s="27">
        <v>4</v>
      </c>
      <c r="Y34" s="27" t="s">
        <v>41</v>
      </c>
      <c r="Z34" s="27" t="s">
        <v>41</v>
      </c>
      <c r="AA34" s="27">
        <v>5</v>
      </c>
      <c r="AB34" s="27">
        <v>5</v>
      </c>
      <c r="AC34" s="27" t="s">
        <v>41</v>
      </c>
      <c r="AD34" s="27" t="s">
        <v>41</v>
      </c>
      <c r="AE34" s="27" t="s">
        <v>41</v>
      </c>
      <c r="AF34" s="27" t="s">
        <v>41</v>
      </c>
      <c r="AG34" s="27">
        <v>6</v>
      </c>
      <c r="AH34" s="27">
        <v>6</v>
      </c>
      <c r="AI34" s="27" t="s">
        <v>41</v>
      </c>
      <c r="AJ34" s="27" t="s">
        <v>41</v>
      </c>
      <c r="AK34" s="27" t="s">
        <v>41</v>
      </c>
      <c r="AL34" s="27" t="s">
        <v>41</v>
      </c>
      <c r="AM34" s="27" t="s">
        <v>41</v>
      </c>
      <c r="AN34" s="27" t="s">
        <v>41</v>
      </c>
      <c r="AO34" s="27" t="s">
        <v>41</v>
      </c>
      <c r="AP34" s="27" t="s">
        <v>41</v>
      </c>
      <c r="AQ34" s="27" t="s">
        <v>41</v>
      </c>
      <c r="AR34" s="28" t="s">
        <v>41</v>
      </c>
      <c r="AS34" s="27" t="s">
        <v>14</v>
      </c>
      <c r="AT34" s="27">
        <v>5</v>
      </c>
      <c r="AU34" s="82">
        <v>0.5</v>
      </c>
      <c r="AV34" s="86" t="s">
        <v>41</v>
      </c>
      <c r="AW34" s="28">
        <v>0</v>
      </c>
      <c r="AX34" s="29">
        <f t="shared" si="3"/>
        <v>3.8333333333333335</v>
      </c>
      <c r="AY34" s="30" t="str">
        <f t="shared" si="4"/>
        <v>Minors</v>
      </c>
      <c r="AZ34" s="30">
        <f t="shared" si="5"/>
        <v>4.833333333333333</v>
      </c>
      <c r="BA34" s="30" t="str">
        <f t="shared" si="6"/>
        <v>Bench</v>
      </c>
      <c r="BB34" s="30">
        <f t="shared" si="7"/>
        <v>4.833333333333333</v>
      </c>
      <c r="BC34" s="30" t="str">
        <f t="shared" si="8"/>
        <v>Bench</v>
      </c>
      <c r="BD34" s="107">
        <f t="shared" si="9"/>
        <v>4</v>
      </c>
      <c r="BE34" s="108">
        <f t="shared" si="10"/>
        <v>2</v>
      </c>
      <c r="BF34" s="27" t="str">
        <f t="shared" si="11"/>
        <v/>
      </c>
      <c r="BG34" s="27" t="str">
        <f t="shared" si="12"/>
        <v>Possible</v>
      </c>
      <c r="BH34" t="str">
        <f t="shared" si="13"/>
        <v>SS-A</v>
      </c>
      <c r="BI34">
        <f t="shared" si="14"/>
        <v>10</v>
      </c>
      <c r="BJ34">
        <f t="shared" si="15"/>
        <v>13</v>
      </c>
      <c r="BK34">
        <f t="shared" si="16"/>
        <v>-1</v>
      </c>
      <c r="BL34">
        <f t="shared" si="17"/>
        <v>0</v>
      </c>
      <c r="BM34">
        <f t="shared" si="19"/>
        <v>-2</v>
      </c>
      <c r="BN34">
        <f t="shared" si="18"/>
        <v>-3</v>
      </c>
    </row>
    <row r="35" spans="1:66" hidden="1">
      <c r="A35" s="95" t="str">
        <f>IF(ISERROR(VLOOKUP(E35,CON!$C$53:$C$70,1,FALSE)),IF(ISERROR(VLOOKUP(E35,'PSP-AAA'!$C$51:$C$72,1,FALSE)),IF(ISERROR(VLOOKUP(E35,'NH-AA'!$C$51:$C$72,1,FALSE)),IF(ISERROR(VLOOKUP(E35,'CRG-A'!$C$51:$C$72,1,FALSE)),IF(ISERROR(VLOOKUP(E35,'PC-S A'!$C$51:$C$72,1,FALSE)),"","S A"),"A"),"AA"),"AAA"),"ML")</f>
        <v>S A</v>
      </c>
      <c r="C35" t="str">
        <f t="shared" si="2"/>
        <v>K</v>
      </c>
      <c r="D35" s="27" t="s">
        <v>108</v>
      </c>
      <c r="E35" s="27" t="s">
        <v>529</v>
      </c>
      <c r="F35" s="27" t="s">
        <v>370</v>
      </c>
      <c r="G35" s="27" t="s">
        <v>316</v>
      </c>
      <c r="H35" s="27">
        <v>19</v>
      </c>
      <c r="I35" s="27" t="s">
        <v>104</v>
      </c>
      <c r="J35" s="28" t="s">
        <v>104</v>
      </c>
      <c r="K35" s="27" t="s">
        <v>47</v>
      </c>
      <c r="L35" s="27" t="s">
        <v>47</v>
      </c>
      <c r="M35" s="27" t="s">
        <v>225</v>
      </c>
      <c r="N35" s="28" t="s">
        <v>223</v>
      </c>
      <c r="O35" s="27">
        <v>3</v>
      </c>
      <c r="P35" s="27">
        <v>5</v>
      </c>
      <c r="Q35" s="28">
        <v>1</v>
      </c>
      <c r="R35" s="27">
        <v>5</v>
      </c>
      <c r="S35" s="27">
        <v>6</v>
      </c>
      <c r="T35" s="28">
        <v>3</v>
      </c>
      <c r="U35" s="27" t="s">
        <v>41</v>
      </c>
      <c r="V35" s="27" t="s">
        <v>41</v>
      </c>
      <c r="W35" s="27">
        <v>1</v>
      </c>
      <c r="X35" s="27">
        <v>3</v>
      </c>
      <c r="Y35" s="27">
        <v>3</v>
      </c>
      <c r="Z35" s="27">
        <v>5</v>
      </c>
      <c r="AA35" s="27">
        <v>3</v>
      </c>
      <c r="AB35" s="27">
        <v>3</v>
      </c>
      <c r="AC35" s="27" t="s">
        <v>41</v>
      </c>
      <c r="AD35" s="27" t="s">
        <v>41</v>
      </c>
      <c r="AE35" s="27" t="s">
        <v>41</v>
      </c>
      <c r="AF35" s="27" t="s">
        <v>41</v>
      </c>
      <c r="AG35" s="27">
        <v>4</v>
      </c>
      <c r="AH35" s="27">
        <v>6</v>
      </c>
      <c r="AI35" s="27" t="s">
        <v>41</v>
      </c>
      <c r="AJ35" s="27" t="s">
        <v>41</v>
      </c>
      <c r="AK35" s="27" t="s">
        <v>41</v>
      </c>
      <c r="AL35" s="27" t="s">
        <v>41</v>
      </c>
      <c r="AM35" s="27" t="s">
        <v>41</v>
      </c>
      <c r="AN35" s="27" t="s">
        <v>41</v>
      </c>
      <c r="AO35" s="27" t="s">
        <v>41</v>
      </c>
      <c r="AP35" s="27" t="s">
        <v>41</v>
      </c>
      <c r="AQ35" s="27" t="s">
        <v>41</v>
      </c>
      <c r="AR35" s="28" t="s">
        <v>41</v>
      </c>
      <c r="AS35" s="27" t="s">
        <v>15</v>
      </c>
      <c r="AT35" s="27">
        <v>5</v>
      </c>
      <c r="AU35" s="82">
        <v>0.57999999999999996</v>
      </c>
      <c r="AV35" s="86" t="s">
        <v>41</v>
      </c>
      <c r="AW35" s="28">
        <v>0</v>
      </c>
      <c r="AX35" s="29">
        <f t="shared" si="3"/>
        <v>3.5</v>
      </c>
      <c r="AY35" s="30" t="str">
        <f t="shared" si="4"/>
        <v>Minors</v>
      </c>
      <c r="AZ35" s="30">
        <f t="shared" si="5"/>
        <v>5.416666666666667</v>
      </c>
      <c r="BA35" s="30" t="str">
        <f t="shared" si="6"/>
        <v>Reg</v>
      </c>
      <c r="BB35" s="30">
        <f t="shared" si="7"/>
        <v>5.416666666666667</v>
      </c>
      <c r="BC35" s="30" t="str">
        <f t="shared" si="8"/>
        <v>Reg</v>
      </c>
      <c r="BD35" s="107">
        <f t="shared" si="9"/>
        <v>4</v>
      </c>
      <c r="BE35" s="108">
        <f t="shared" si="10"/>
        <v>0.5</v>
      </c>
      <c r="BF35" s="27" t="str">
        <f t="shared" si="11"/>
        <v/>
      </c>
      <c r="BG35" s="27" t="str">
        <f t="shared" si="12"/>
        <v>Possible</v>
      </c>
      <c r="BH35" t="str">
        <f t="shared" si="13"/>
        <v>SS-A</v>
      </c>
      <c r="BI35">
        <f t="shared" si="14"/>
        <v>9</v>
      </c>
      <c r="BJ35">
        <f t="shared" si="15"/>
        <v>14</v>
      </c>
      <c r="BK35">
        <f t="shared" si="16"/>
        <v>-2</v>
      </c>
      <c r="BL35">
        <f t="shared" si="17"/>
        <v>-1</v>
      </c>
      <c r="BM35">
        <f t="shared" si="19"/>
        <v>-2</v>
      </c>
      <c r="BN35">
        <f t="shared" si="18"/>
        <v>-5</v>
      </c>
    </row>
    <row r="36" spans="1:66" hidden="1">
      <c r="A36" s="95" t="str">
        <f>IF(ISERROR(VLOOKUP(E36,CON!$C$53:$C$70,1,FALSE)),IF(ISERROR(VLOOKUP(E36,'PSP-AAA'!$C$51:$C$72,1,FALSE)),IF(ISERROR(VLOOKUP(E36,'NH-AA'!$C$51:$C$72,1,FALSE)),IF(ISERROR(VLOOKUP(E36,'CRG-A'!$C$51:$C$72,1,FALSE)),IF(ISERROR(VLOOKUP(E36,'PC-S A'!$C$51:$C$72,1,FALSE)),"","S A"),"A"),"AA"),"AAA"),"ML")</f>
        <v/>
      </c>
      <c r="C36" t="str">
        <f t="shared" si="2"/>
        <v>T</v>
      </c>
      <c r="D36" s="27"/>
      <c r="E36" s="27"/>
      <c r="F36" s="27"/>
      <c r="G36" s="27"/>
      <c r="H36" s="27"/>
      <c r="I36" s="27"/>
      <c r="J36" s="28"/>
      <c r="K36" s="27"/>
      <c r="L36" s="27"/>
      <c r="M36" s="27"/>
      <c r="N36" s="28"/>
      <c r="O36" s="27"/>
      <c r="P36" s="27"/>
      <c r="Q36" s="28"/>
      <c r="R36" s="27"/>
      <c r="S36" s="27"/>
      <c r="T36" s="28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AS36" s="27"/>
      <c r="AT36" s="27"/>
      <c r="AU36" s="82"/>
      <c r="AV36" s="86"/>
      <c r="AW36" s="28"/>
      <c r="AX36" s="29" t="e">
        <f t="shared" si="3"/>
        <v>#DIV/0!</v>
      </c>
      <c r="AY36" s="30" t="e">
        <f t="shared" si="4"/>
        <v>#DIV/0!</v>
      </c>
      <c r="AZ36" s="30" t="e">
        <f t="shared" si="5"/>
        <v>#DIV/0!</v>
      </c>
      <c r="BA36" s="30" t="e">
        <f t="shared" si="6"/>
        <v>#DIV/0!</v>
      </c>
      <c r="BB36" s="30" t="e">
        <f t="shared" si="7"/>
        <v>#DIV/0!</v>
      </c>
      <c r="BC36" s="30" t="e">
        <f t="shared" si="8"/>
        <v>#DIV/0!</v>
      </c>
      <c r="BD36" s="107">
        <f t="shared" si="9"/>
        <v>0</v>
      </c>
      <c r="BE36" s="108">
        <f t="shared" si="10"/>
        <v>0</v>
      </c>
      <c r="BF36" s="27" t="str">
        <f t="shared" si="11"/>
        <v/>
      </c>
      <c r="BG36" s="27" t="e">
        <f t="shared" si="12"/>
        <v>#DIV/0!</v>
      </c>
      <c r="BH36" t="e">
        <f t="shared" si="13"/>
        <v>#DIV/0!</v>
      </c>
      <c r="BI36">
        <f t="shared" si="14"/>
        <v>0</v>
      </c>
      <c r="BJ36">
        <f t="shared" si="15"/>
        <v>0</v>
      </c>
      <c r="BK36">
        <f t="shared" si="16"/>
        <v>0</v>
      </c>
      <c r="BL36">
        <f t="shared" si="17"/>
        <v>0</v>
      </c>
      <c r="BM36">
        <f t="shared" si="19"/>
        <v>0</v>
      </c>
      <c r="BN36">
        <f t="shared" si="18"/>
        <v>0</v>
      </c>
    </row>
    <row r="37" spans="1:66" hidden="1">
      <c r="A37" s="95" t="str">
        <f>IF(ISERROR(VLOOKUP(E37,CON!$C$53:$C$70,1,FALSE)),IF(ISERROR(VLOOKUP(E37,'PSP-AAA'!$C$51:$C$72,1,FALSE)),IF(ISERROR(VLOOKUP(E37,'NH-AA'!$C$51:$C$72,1,FALSE)),IF(ISERROR(VLOOKUP(E37,'CRG-A'!$C$51:$C$72,1,FALSE)),IF(ISERROR(VLOOKUP(E37,'PC-S A'!$C$51:$C$72,1,FALSE)),"","S A"),"A"),"AA"),"AAA"),"ML")</f>
        <v/>
      </c>
      <c r="C37" t="str">
        <f t="shared" si="2"/>
        <v>T</v>
      </c>
      <c r="D37" s="27"/>
      <c r="E37" s="27"/>
      <c r="F37" s="27"/>
      <c r="G37" s="27"/>
      <c r="H37" s="27"/>
      <c r="I37" s="27"/>
      <c r="J37" s="28"/>
      <c r="K37" s="27"/>
      <c r="L37" s="27"/>
      <c r="M37" s="27"/>
      <c r="N37" s="28"/>
      <c r="O37" s="27"/>
      <c r="P37" s="27"/>
      <c r="Q37" s="28"/>
      <c r="R37" s="27"/>
      <c r="S37" s="27"/>
      <c r="T37" s="28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AS37" s="27"/>
      <c r="AT37" s="27"/>
      <c r="AU37" s="82"/>
      <c r="AV37" s="86"/>
      <c r="AW37" s="28"/>
      <c r="AX37" s="29" t="e">
        <f t="shared" si="3"/>
        <v>#DIV/0!</v>
      </c>
      <c r="AY37" s="30" t="e">
        <f t="shared" si="4"/>
        <v>#DIV/0!</v>
      </c>
      <c r="AZ37" s="30" t="e">
        <f t="shared" si="5"/>
        <v>#DIV/0!</v>
      </c>
      <c r="BA37" s="30" t="e">
        <f t="shared" si="6"/>
        <v>#DIV/0!</v>
      </c>
      <c r="BB37" s="30" t="e">
        <f t="shared" si="7"/>
        <v>#DIV/0!</v>
      </c>
      <c r="BC37" s="30" t="e">
        <f t="shared" si="8"/>
        <v>#DIV/0!</v>
      </c>
      <c r="BD37" s="107">
        <f t="shared" si="9"/>
        <v>0</v>
      </c>
      <c r="BE37" s="108">
        <f t="shared" si="10"/>
        <v>0</v>
      </c>
      <c r="BF37" s="27" t="str">
        <f t="shared" si="11"/>
        <v/>
      </c>
      <c r="BG37" s="27" t="e">
        <f t="shared" si="12"/>
        <v>#DIV/0!</v>
      </c>
      <c r="BH37" t="e">
        <f t="shared" si="13"/>
        <v>#DIV/0!</v>
      </c>
      <c r="BI37">
        <f t="shared" si="14"/>
        <v>0</v>
      </c>
      <c r="BJ37">
        <f t="shared" si="15"/>
        <v>0</v>
      </c>
      <c r="BK37">
        <f t="shared" si="16"/>
        <v>0</v>
      </c>
      <c r="BL37">
        <f t="shared" si="17"/>
        <v>0</v>
      </c>
      <c r="BM37">
        <f t="shared" si="19"/>
        <v>0</v>
      </c>
      <c r="BN37">
        <f t="shared" si="18"/>
        <v>0</v>
      </c>
    </row>
    <row r="38" spans="1:66" hidden="1">
      <c r="A38" s="95" t="str">
        <f>IF(ISERROR(VLOOKUP(E38,CON!$C$53:$C$70,1,FALSE)),IF(ISERROR(VLOOKUP(E38,'PSP-AAA'!$C$51:$C$72,1,FALSE)),IF(ISERROR(VLOOKUP(E38,'NH-AA'!$C$51:$C$72,1,FALSE)),IF(ISERROR(VLOOKUP(E38,'CRG-A'!$C$51:$C$72,1,FALSE)),IF(ISERROR(VLOOKUP(E38,'PC-S A'!$C$51:$C$72,1,FALSE)),"","S A"),"A"),"AA"),"AAA"),"ML")</f>
        <v/>
      </c>
      <c r="C38" t="str">
        <f t="shared" si="2"/>
        <v>T</v>
      </c>
      <c r="D38" s="27"/>
      <c r="E38" s="27"/>
      <c r="F38" s="27"/>
      <c r="G38" s="27"/>
      <c r="H38" s="27"/>
      <c r="I38" s="27"/>
      <c r="J38" s="28"/>
      <c r="K38" s="27"/>
      <c r="L38" s="27"/>
      <c r="M38" s="27"/>
      <c r="N38" s="28"/>
      <c r="O38" s="27"/>
      <c r="P38" s="27"/>
      <c r="Q38" s="28"/>
      <c r="R38" s="27"/>
      <c r="S38" s="27"/>
      <c r="T38" s="28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8"/>
      <c r="AS38" s="27"/>
      <c r="AT38" s="27"/>
      <c r="AU38" s="82"/>
      <c r="AV38" s="86"/>
      <c r="AW38" s="28"/>
      <c r="AX38" s="29" t="e">
        <f t="shared" si="3"/>
        <v>#DIV/0!</v>
      </c>
      <c r="AY38" s="30" t="e">
        <f t="shared" si="4"/>
        <v>#DIV/0!</v>
      </c>
      <c r="AZ38" s="30" t="e">
        <f t="shared" si="5"/>
        <v>#DIV/0!</v>
      </c>
      <c r="BA38" s="30" t="e">
        <f t="shared" si="6"/>
        <v>#DIV/0!</v>
      </c>
      <c r="BB38" s="30" t="e">
        <f t="shared" si="7"/>
        <v>#DIV/0!</v>
      </c>
      <c r="BC38" s="30" t="e">
        <f t="shared" si="8"/>
        <v>#DIV/0!</v>
      </c>
      <c r="BD38" s="107">
        <f t="shared" si="9"/>
        <v>0</v>
      </c>
      <c r="BE38" s="108">
        <f t="shared" si="10"/>
        <v>0</v>
      </c>
      <c r="BF38" s="27" t="str">
        <f t="shared" si="11"/>
        <v/>
      </c>
      <c r="BG38" s="27" t="e">
        <f t="shared" si="12"/>
        <v>#DIV/0!</v>
      </c>
      <c r="BH38" t="e">
        <f t="shared" si="13"/>
        <v>#DIV/0!</v>
      </c>
      <c r="BI38">
        <f t="shared" si="14"/>
        <v>0</v>
      </c>
      <c r="BJ38">
        <f t="shared" si="15"/>
        <v>0</v>
      </c>
      <c r="BK38">
        <f t="shared" si="16"/>
        <v>0</v>
      </c>
      <c r="BL38">
        <f t="shared" si="17"/>
        <v>0</v>
      </c>
      <c r="BM38">
        <f t="shared" si="19"/>
        <v>0</v>
      </c>
      <c r="BN38">
        <f t="shared" si="18"/>
        <v>0</v>
      </c>
    </row>
    <row r="39" spans="1:66" hidden="1">
      <c r="A39" s="95" t="str">
        <f>IF(ISERROR(VLOOKUP(E39,CON!$C$53:$C$70,1,FALSE)),IF(ISERROR(VLOOKUP(E39,'PSP-AAA'!$C$51:$C$72,1,FALSE)),IF(ISERROR(VLOOKUP(E39,'NH-AA'!$C$51:$C$72,1,FALSE)),IF(ISERROR(VLOOKUP(E39,'CRG-A'!$C$51:$C$72,1,FALSE)),IF(ISERROR(VLOOKUP(E39,'PC-S A'!$C$51:$C$72,1,FALSE)),"","S A"),"A"),"AA"),"AAA"),"ML")</f>
        <v/>
      </c>
      <c r="C39" t="str">
        <f t="shared" si="2"/>
        <v>T</v>
      </c>
      <c r="D39" s="27"/>
      <c r="E39" s="27"/>
      <c r="F39" s="27"/>
      <c r="G39" s="27"/>
      <c r="H39" s="27"/>
      <c r="I39" s="27"/>
      <c r="J39" s="28"/>
      <c r="K39" s="27"/>
      <c r="L39" s="27"/>
      <c r="M39" s="27"/>
      <c r="N39" s="28"/>
      <c r="O39" s="27"/>
      <c r="P39" s="27"/>
      <c r="Q39" s="28"/>
      <c r="R39" s="27"/>
      <c r="S39" s="27"/>
      <c r="T39" s="28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8"/>
      <c r="AS39" s="27"/>
      <c r="AT39" s="27"/>
      <c r="AU39" s="82"/>
      <c r="AV39" s="86"/>
      <c r="AW39" s="28"/>
      <c r="AX39" s="29" t="e">
        <f t="shared" si="3"/>
        <v>#DIV/0!</v>
      </c>
      <c r="AY39" s="30" t="e">
        <f t="shared" si="4"/>
        <v>#DIV/0!</v>
      </c>
      <c r="AZ39" s="30" t="e">
        <f t="shared" si="5"/>
        <v>#DIV/0!</v>
      </c>
      <c r="BA39" s="30" t="e">
        <f t="shared" si="6"/>
        <v>#DIV/0!</v>
      </c>
      <c r="BB39" s="30" t="e">
        <f t="shared" si="7"/>
        <v>#DIV/0!</v>
      </c>
      <c r="BC39" s="30" t="e">
        <f t="shared" si="8"/>
        <v>#DIV/0!</v>
      </c>
      <c r="BD39" s="107">
        <f t="shared" si="9"/>
        <v>0</v>
      </c>
      <c r="BE39" s="108">
        <f t="shared" si="10"/>
        <v>0</v>
      </c>
      <c r="BF39" s="27" t="str">
        <f t="shared" si="11"/>
        <v/>
      </c>
      <c r="BG39" s="27" t="e">
        <f t="shared" si="12"/>
        <v>#DIV/0!</v>
      </c>
      <c r="BH39" t="e">
        <f t="shared" si="13"/>
        <v>#DIV/0!</v>
      </c>
      <c r="BI39">
        <f t="shared" si="14"/>
        <v>0</v>
      </c>
      <c r="BJ39">
        <f t="shared" si="15"/>
        <v>0</v>
      </c>
      <c r="BK39">
        <f t="shared" si="16"/>
        <v>0</v>
      </c>
      <c r="BL39">
        <f t="shared" si="17"/>
        <v>0</v>
      </c>
      <c r="BM39">
        <f t="shared" si="19"/>
        <v>0</v>
      </c>
      <c r="BN39">
        <f t="shared" si="18"/>
        <v>0</v>
      </c>
    </row>
    <row r="40" spans="1:66" hidden="1">
      <c r="A40" s="95" t="str">
        <f>IF(ISERROR(VLOOKUP(E40,CON!$C$53:$C$70,1,FALSE)),IF(ISERROR(VLOOKUP(E40,'PSP-AAA'!$C$51:$C$72,1,FALSE)),IF(ISERROR(VLOOKUP(E40,'NH-AA'!$C$51:$C$72,1,FALSE)),IF(ISERROR(VLOOKUP(E40,'CRG-A'!$C$51:$C$72,1,FALSE)),IF(ISERROR(VLOOKUP(E40,'PC-S A'!$C$51:$C$72,1,FALSE)),"","S A"),"A"),"AA"),"AAA"),"ML")</f>
        <v/>
      </c>
      <c r="C40" t="str">
        <f t="shared" si="2"/>
        <v>T</v>
      </c>
      <c r="D40" s="27"/>
      <c r="E40" s="27"/>
      <c r="F40" s="27"/>
      <c r="G40" s="27"/>
      <c r="H40" s="27"/>
      <c r="I40" s="27"/>
      <c r="J40" s="28"/>
      <c r="K40" s="27"/>
      <c r="L40" s="27"/>
      <c r="M40" s="27"/>
      <c r="N40" s="28"/>
      <c r="O40" s="27"/>
      <c r="P40" s="27"/>
      <c r="Q40" s="28"/>
      <c r="R40" s="27"/>
      <c r="S40" s="27"/>
      <c r="T40" s="28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8"/>
      <c r="AS40" s="27"/>
      <c r="AT40" s="27"/>
      <c r="AU40" s="82"/>
      <c r="AV40" s="86"/>
      <c r="AW40" s="28"/>
      <c r="AX40" s="29" t="e">
        <f t="shared" si="3"/>
        <v>#DIV/0!</v>
      </c>
      <c r="AY40" s="30" t="e">
        <f t="shared" si="4"/>
        <v>#DIV/0!</v>
      </c>
      <c r="AZ40" s="30" t="e">
        <f t="shared" si="5"/>
        <v>#DIV/0!</v>
      </c>
      <c r="BA40" s="30" t="e">
        <f t="shared" si="6"/>
        <v>#DIV/0!</v>
      </c>
      <c r="BB40" s="30" t="e">
        <f t="shared" si="7"/>
        <v>#DIV/0!</v>
      </c>
      <c r="BC40" s="30" t="e">
        <f t="shared" si="8"/>
        <v>#DIV/0!</v>
      </c>
      <c r="BD40" s="107">
        <f t="shared" si="9"/>
        <v>0</v>
      </c>
      <c r="BE40" s="108">
        <f t="shared" si="10"/>
        <v>0</v>
      </c>
      <c r="BF40" s="27" t="str">
        <f t="shared" si="11"/>
        <v/>
      </c>
      <c r="BG40" s="27" t="e">
        <f t="shared" si="12"/>
        <v>#DIV/0!</v>
      </c>
      <c r="BH40" t="e">
        <f t="shared" si="13"/>
        <v>#DIV/0!</v>
      </c>
      <c r="BI40">
        <f t="shared" si="14"/>
        <v>0</v>
      </c>
      <c r="BJ40">
        <f t="shared" si="15"/>
        <v>0</v>
      </c>
      <c r="BK40">
        <f t="shared" si="16"/>
        <v>0</v>
      </c>
      <c r="BL40">
        <f t="shared" si="17"/>
        <v>0</v>
      </c>
      <c r="BM40">
        <f t="shared" si="19"/>
        <v>0</v>
      </c>
      <c r="BN40">
        <f t="shared" si="18"/>
        <v>0</v>
      </c>
    </row>
    <row r="41" spans="1:66" hidden="1">
      <c r="A41" s="95" t="str">
        <f>IF(ISERROR(VLOOKUP(E41,CON!$C$53:$C$70,1,FALSE)),IF(ISERROR(VLOOKUP(E41,'PSP-AAA'!$C$51:$C$72,1,FALSE)),IF(ISERROR(VLOOKUP(E41,'NH-AA'!$C$51:$C$72,1,FALSE)),IF(ISERROR(VLOOKUP(E41,'CRG-A'!$C$51:$C$72,1,FALSE)),IF(ISERROR(VLOOKUP(E41,'PC-S A'!$C$51:$C$72,1,FALSE)),"","S A"),"A"),"AA"),"AAA"),"ML")</f>
        <v/>
      </c>
      <c r="C41" t="str">
        <f t="shared" si="2"/>
        <v>T</v>
      </c>
      <c r="D41" s="27"/>
      <c r="E41" s="27"/>
      <c r="F41" s="27"/>
      <c r="G41" s="27"/>
      <c r="H41" s="27"/>
      <c r="I41" s="27"/>
      <c r="J41" s="28"/>
      <c r="K41" s="27"/>
      <c r="L41" s="27"/>
      <c r="M41" s="27"/>
      <c r="N41" s="28"/>
      <c r="O41" s="27"/>
      <c r="P41" s="27"/>
      <c r="Q41" s="28"/>
      <c r="R41" s="27"/>
      <c r="S41" s="27"/>
      <c r="T41" s="28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8"/>
      <c r="AS41" s="27"/>
      <c r="AT41" s="27"/>
      <c r="AU41" s="82"/>
      <c r="AV41" s="86"/>
      <c r="AW41" s="28"/>
      <c r="AX41" s="29" t="e">
        <f t="shared" si="3"/>
        <v>#DIV/0!</v>
      </c>
      <c r="AY41" s="30" t="e">
        <f t="shared" si="4"/>
        <v>#DIV/0!</v>
      </c>
      <c r="AZ41" s="30" t="e">
        <f t="shared" si="5"/>
        <v>#DIV/0!</v>
      </c>
      <c r="BA41" s="30" t="e">
        <f t="shared" si="6"/>
        <v>#DIV/0!</v>
      </c>
      <c r="BB41" s="30" t="e">
        <f t="shared" si="7"/>
        <v>#DIV/0!</v>
      </c>
      <c r="BC41" s="30" t="e">
        <f t="shared" si="8"/>
        <v>#DIV/0!</v>
      </c>
      <c r="BD41" s="107">
        <f t="shared" si="9"/>
        <v>0</v>
      </c>
      <c r="BE41" s="108">
        <f t="shared" si="10"/>
        <v>0</v>
      </c>
      <c r="BF41" s="27" t="str">
        <f t="shared" si="11"/>
        <v/>
      </c>
      <c r="BG41" s="27" t="e">
        <f t="shared" si="12"/>
        <v>#DIV/0!</v>
      </c>
      <c r="BH41" t="e">
        <f t="shared" si="13"/>
        <v>#DIV/0!</v>
      </c>
      <c r="BI41">
        <f t="shared" si="14"/>
        <v>0</v>
      </c>
      <c r="BJ41">
        <f t="shared" si="15"/>
        <v>0</v>
      </c>
      <c r="BK41">
        <f t="shared" si="16"/>
        <v>0</v>
      </c>
      <c r="BL41">
        <f t="shared" si="17"/>
        <v>0</v>
      </c>
      <c r="BM41">
        <f t="shared" si="19"/>
        <v>0</v>
      </c>
      <c r="BN41">
        <f t="shared" si="18"/>
        <v>0</v>
      </c>
    </row>
    <row r="42" spans="1:66" hidden="1">
      <c r="A42" s="95" t="str">
        <f>IF(ISERROR(VLOOKUP(E42,CON!$C$53:$C$70,1,FALSE)),IF(ISERROR(VLOOKUP(E42,'PSP-AAA'!$C$51:$C$72,1,FALSE)),IF(ISERROR(VLOOKUP(E42,'NH-AA'!$C$51:$C$72,1,FALSE)),IF(ISERROR(VLOOKUP(E42,'CRG-A'!$C$51:$C$72,1,FALSE)),IF(ISERROR(VLOOKUP(E42,'PC-S A'!$C$51:$C$72,1,FALSE)),"","S A"),"A"),"AA"),"AAA"),"ML")</f>
        <v/>
      </c>
      <c r="C42" t="str">
        <f t="shared" si="2"/>
        <v>T</v>
      </c>
      <c r="D42" s="27"/>
      <c r="E42" s="27"/>
      <c r="F42" s="27"/>
      <c r="G42" s="27"/>
      <c r="H42" s="27"/>
      <c r="I42" s="27"/>
      <c r="J42" s="28"/>
      <c r="K42" s="27"/>
      <c r="L42" s="27"/>
      <c r="M42" s="27"/>
      <c r="N42" s="28"/>
      <c r="O42" s="27"/>
      <c r="P42" s="27"/>
      <c r="Q42" s="28"/>
      <c r="R42" s="27"/>
      <c r="S42" s="27"/>
      <c r="T42" s="28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8"/>
      <c r="AS42" s="27"/>
      <c r="AT42" s="27"/>
      <c r="AU42" s="82"/>
      <c r="AV42" s="86"/>
      <c r="AW42" s="28"/>
      <c r="AX42" s="29" t="e">
        <f t="shared" si="3"/>
        <v>#DIV/0!</v>
      </c>
      <c r="AY42" s="30" t="e">
        <f t="shared" si="4"/>
        <v>#DIV/0!</v>
      </c>
      <c r="AZ42" s="30" t="e">
        <f t="shared" si="5"/>
        <v>#DIV/0!</v>
      </c>
      <c r="BA42" s="30" t="e">
        <f t="shared" si="6"/>
        <v>#DIV/0!</v>
      </c>
      <c r="BB42" s="30" t="e">
        <f t="shared" si="7"/>
        <v>#DIV/0!</v>
      </c>
      <c r="BC42" s="30" t="e">
        <f t="shared" si="8"/>
        <v>#DIV/0!</v>
      </c>
      <c r="BD42" s="107">
        <f t="shared" si="9"/>
        <v>0</v>
      </c>
      <c r="BE42" s="108">
        <f t="shared" si="10"/>
        <v>0</v>
      </c>
      <c r="BF42" s="27" t="str">
        <f t="shared" si="11"/>
        <v/>
      </c>
      <c r="BG42" s="27" t="e">
        <f t="shared" si="12"/>
        <v>#DIV/0!</v>
      </c>
      <c r="BH42" t="e">
        <f t="shared" si="13"/>
        <v>#DIV/0!</v>
      </c>
      <c r="BI42">
        <f t="shared" si="14"/>
        <v>0</v>
      </c>
      <c r="BJ42">
        <f t="shared" si="15"/>
        <v>0</v>
      </c>
      <c r="BK42">
        <f t="shared" si="16"/>
        <v>0</v>
      </c>
      <c r="BL42">
        <f t="shared" si="17"/>
        <v>0</v>
      </c>
      <c r="BM42">
        <f t="shared" si="19"/>
        <v>0</v>
      </c>
      <c r="BN42">
        <f t="shared" si="18"/>
        <v>0</v>
      </c>
    </row>
    <row r="43" spans="1:66" hidden="1">
      <c r="A43" s="95" t="str">
        <f>IF(ISERROR(VLOOKUP(E43,CON!$C$53:$C$70,1,FALSE)),IF(ISERROR(VLOOKUP(E43,'PSP-AAA'!$C$51:$C$72,1,FALSE)),IF(ISERROR(VLOOKUP(E43,'NH-AA'!$C$51:$C$72,1,FALSE)),IF(ISERROR(VLOOKUP(E43,'CRG-A'!$C$51:$C$72,1,FALSE)),IF(ISERROR(VLOOKUP(E43,'PC-S A'!$C$51:$C$72,1,FALSE)),"","S A"),"A"),"AA"),"AAA"),"ML")</f>
        <v/>
      </c>
      <c r="C43" t="str">
        <f t="shared" ref="C43:C74" si="20">IF(OR(OR(M43="Very High",M43="High"),AND(OR(M43="Very High",M43="High",M43="Normal"),OR(N43="Very High",N43="High"))),"K","T")</f>
        <v>T</v>
      </c>
      <c r="D43" s="27"/>
      <c r="E43" s="27"/>
      <c r="F43" s="27"/>
      <c r="G43" s="27"/>
      <c r="H43" s="27"/>
      <c r="I43" s="27"/>
      <c r="J43" s="28"/>
      <c r="K43" s="27"/>
      <c r="L43" s="27"/>
      <c r="M43" s="27"/>
      <c r="N43" s="28"/>
      <c r="O43" s="27"/>
      <c r="P43" s="27"/>
      <c r="Q43" s="28"/>
      <c r="R43" s="27"/>
      <c r="S43" s="27"/>
      <c r="T43" s="28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8"/>
      <c r="AS43" s="27"/>
      <c r="AT43" s="27"/>
      <c r="AU43" s="82"/>
      <c r="AV43" s="86"/>
      <c r="AW43" s="28"/>
      <c r="AX43" s="29" t="e">
        <f t="shared" ref="AX43:AX74" si="21">AVERAGE(O43:Q43)+0.25*MAX(0,(COUNT(U43,W43,Y43,AA43,AC43,AE43,AG43,AI43,AK43,AM43,AO43,AQ43)-3))+IF(AU43&gt;0.55,0.25,0)+IF(MAX(U43,W43,Y43,AA43,AC43,AE43,AG43,AI43,AK43,AM43,AO43,AQ43)&gt;5,0.25,0)</f>
        <v>#DIV/0!</v>
      </c>
      <c r="AY43" s="30" t="e">
        <f t="shared" ref="AY43:AY74" si="22">IF(AX43&gt;9,"SuperStar",IF(AX43&gt;8,"Star",IF(AX43&gt;6.5,"GoodReg",IF(AX43&gt;5,"Reg",IF(AX43&gt;4,"Bench","Minors")))))</f>
        <v>#DIV/0!</v>
      </c>
      <c r="AZ43" s="30" t="e">
        <f t="shared" ref="AZ43:AZ74" si="23">AVERAGE(R43:T43)+0.25*MAX(0,(COUNT(V43,X43,Z43,AB43,AD43,AF43,AH43,AJ43,AL43,AN43,AP43,AR43)-3))+IF(AU43&gt;0.55,0.25,0)+IF(MAX(V43,X43,Z43,AB43,AD43,AF43,AH43,AJ43,AL43,AN43,AP43,AR43)&gt;5,0.25,0)</f>
        <v>#DIV/0!</v>
      </c>
      <c r="BA43" s="30" t="e">
        <f t="shared" ref="BA43:BA74" si="24">IF(AZ43&gt;9,"SuperStar",IF(AZ43&gt;8,"Star",IF(AZ43&gt;6.5,"GoodReg",IF(AZ43&gt;5,"Reg",IF(AZ43&gt;4,"Bench","Minors")))))</f>
        <v>#DIV/0!</v>
      </c>
      <c r="BB43" s="30" t="e">
        <f t="shared" ref="BB43:BB74" si="25">MIN(AX43+(MAX(0,25-S43))^1.5,AZ43)</f>
        <v>#DIV/0!</v>
      </c>
      <c r="BC43" s="30" t="e">
        <f t="shared" ref="BC43:BC74" si="26">IF(BB43&gt;9,"SuperStar",IF(BB43&gt;8,"Star",IF(BB43&gt;6.5,"GoodReg",IF(BB43&gt;5,"Reg",IF(BB43&gt;4,"Bench","Minors")))))</f>
        <v>#DIV/0!</v>
      </c>
      <c r="BD43" s="107">
        <f t="shared" ref="BD43:BD74" si="27">COUNT(U43:AR43)/2</f>
        <v>0</v>
      </c>
      <c r="BE43" s="108">
        <f t="shared" ref="BE43:BE74" si="28">COUNTIF(U43:AR43,"&gt;5")/2</f>
        <v>0</v>
      </c>
      <c r="BF43" s="27" t="str">
        <f t="shared" ref="BF43:BF74" si="29">IF(AW43=1,"Yes","")</f>
        <v/>
      </c>
      <c r="BG43" s="27" t="e">
        <f t="shared" ref="BG43:BG74" si="30">IF(A43="ML","There",IF(AVERAGE($R43:$T43)&gt;=6,"Likely",IF(AVERAGE($R43:$T43)&gt;=4,"Possible","Unlikely")))</f>
        <v>#DIV/0!</v>
      </c>
      <c r="BH43" t="e">
        <f t="shared" ref="BH43:BH74" si="31">IF(AVERAGE(O43:Q43)&gt;=5.5,"ML",IF(AVERAGE(O43:Q43)&gt;=4.5,"AAA",IF(AVERAGE(O43:Q43)&gt;=4,"AA",IF(AVERAGE(O43:Q43)&gt;=3.5,"A","SS-A"))))</f>
        <v>#DIV/0!</v>
      </c>
      <c r="BI43">
        <f t="shared" ref="BI43:BI74" si="32">SUM(O43:Q43)</f>
        <v>0</v>
      </c>
      <c r="BJ43">
        <f t="shared" ref="BJ43:BJ74" si="33">SUM(R43:T43)</f>
        <v>0</v>
      </c>
      <c r="BK43">
        <f t="shared" ref="BK43:BK74" si="34">O43-R43</f>
        <v>0</v>
      </c>
      <c r="BL43">
        <f t="shared" ref="BL43:BL74" si="35">P43-S43</f>
        <v>0</v>
      </c>
      <c r="BM43">
        <f t="shared" ref="BM43:BM74" si="36">Q43-T43</f>
        <v>0</v>
      </c>
      <c r="BN43">
        <f t="shared" ref="BN43:BN74" si="37">SUM(BK43:BM43)</f>
        <v>0</v>
      </c>
    </row>
    <row r="44" spans="1:66" hidden="1">
      <c r="A44" s="95" t="str">
        <f>IF(ISERROR(VLOOKUP(E44,CON!$C$53:$C$70,1,FALSE)),IF(ISERROR(VLOOKUP(E44,'PSP-AAA'!$C$51:$C$72,1,FALSE)),IF(ISERROR(VLOOKUP(E44,'NH-AA'!$C$51:$C$72,1,FALSE)),IF(ISERROR(VLOOKUP(E44,'CRG-A'!$C$51:$C$72,1,FALSE)),IF(ISERROR(VLOOKUP(E44,'PC-S A'!$C$51:$C$72,1,FALSE)),"","S A"),"A"),"AA"),"AAA"),"ML")</f>
        <v/>
      </c>
      <c r="C44" t="str">
        <f t="shared" si="20"/>
        <v>T</v>
      </c>
      <c r="D44" s="27"/>
      <c r="E44" s="27"/>
      <c r="F44" s="27"/>
      <c r="G44" s="27"/>
      <c r="H44" s="27"/>
      <c r="I44" s="27"/>
      <c r="J44" s="28"/>
      <c r="K44" s="27"/>
      <c r="L44" s="27"/>
      <c r="M44" s="27"/>
      <c r="N44" s="28"/>
      <c r="O44" s="27"/>
      <c r="P44" s="27"/>
      <c r="Q44" s="28"/>
      <c r="R44" s="27"/>
      <c r="S44" s="27"/>
      <c r="T44" s="28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8"/>
      <c r="AS44" s="27"/>
      <c r="AT44" s="27"/>
      <c r="AU44" s="82"/>
      <c r="AV44" s="86"/>
      <c r="AW44" s="28"/>
      <c r="AX44" s="29" t="e">
        <f t="shared" si="21"/>
        <v>#DIV/0!</v>
      </c>
      <c r="AY44" s="30" t="e">
        <f t="shared" si="22"/>
        <v>#DIV/0!</v>
      </c>
      <c r="AZ44" s="30" t="e">
        <f t="shared" si="23"/>
        <v>#DIV/0!</v>
      </c>
      <c r="BA44" s="30" t="e">
        <f t="shared" si="24"/>
        <v>#DIV/0!</v>
      </c>
      <c r="BB44" s="30" t="e">
        <f t="shared" si="25"/>
        <v>#DIV/0!</v>
      </c>
      <c r="BC44" s="30" t="e">
        <f t="shared" si="26"/>
        <v>#DIV/0!</v>
      </c>
      <c r="BD44" s="107">
        <f t="shared" si="27"/>
        <v>0</v>
      </c>
      <c r="BE44" s="108">
        <f t="shared" si="28"/>
        <v>0</v>
      </c>
      <c r="BF44" s="27" t="str">
        <f t="shared" si="29"/>
        <v/>
      </c>
      <c r="BG44" s="27" t="e">
        <f t="shared" si="30"/>
        <v>#DIV/0!</v>
      </c>
      <c r="BH44" t="e">
        <f t="shared" si="31"/>
        <v>#DIV/0!</v>
      </c>
      <c r="BI44">
        <f t="shared" si="32"/>
        <v>0</v>
      </c>
      <c r="BJ44">
        <f t="shared" si="33"/>
        <v>0</v>
      </c>
      <c r="BK44">
        <f t="shared" si="34"/>
        <v>0</v>
      </c>
      <c r="BL44">
        <f t="shared" si="35"/>
        <v>0</v>
      </c>
      <c r="BM44">
        <f t="shared" si="36"/>
        <v>0</v>
      </c>
      <c r="BN44">
        <f t="shared" si="37"/>
        <v>0</v>
      </c>
    </row>
    <row r="45" spans="1:66" hidden="1">
      <c r="A45" s="95" t="str">
        <f>IF(ISERROR(VLOOKUP(E45,CON!$C$53:$C$70,1,FALSE)),IF(ISERROR(VLOOKUP(E45,'PSP-AAA'!$C$51:$C$72,1,FALSE)),IF(ISERROR(VLOOKUP(E45,'NH-AA'!$C$51:$C$72,1,FALSE)),IF(ISERROR(VLOOKUP(E45,'CRG-A'!$C$51:$C$72,1,FALSE)),IF(ISERROR(VLOOKUP(E45,'PC-S A'!$C$51:$C$72,1,FALSE)),"","S A"),"A"),"AA"),"AAA"),"ML")</f>
        <v/>
      </c>
      <c r="C45" t="str">
        <f t="shared" si="20"/>
        <v>T</v>
      </c>
      <c r="D45" s="27"/>
      <c r="E45" s="27"/>
      <c r="F45" s="27"/>
      <c r="G45" s="27"/>
      <c r="H45" s="27"/>
      <c r="I45" s="27"/>
      <c r="J45" s="28"/>
      <c r="K45" s="27"/>
      <c r="L45" s="27"/>
      <c r="M45" s="27"/>
      <c r="N45" s="28"/>
      <c r="O45" s="27"/>
      <c r="P45" s="27"/>
      <c r="Q45" s="28"/>
      <c r="R45" s="27"/>
      <c r="S45" s="27"/>
      <c r="T45" s="28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8"/>
      <c r="AS45" s="27"/>
      <c r="AT45" s="27"/>
      <c r="AU45" s="82"/>
      <c r="AV45" s="86"/>
      <c r="AW45" s="28"/>
      <c r="AX45" s="29" t="e">
        <f t="shared" si="21"/>
        <v>#DIV/0!</v>
      </c>
      <c r="AY45" s="30" t="e">
        <f t="shared" si="22"/>
        <v>#DIV/0!</v>
      </c>
      <c r="AZ45" s="30" t="e">
        <f t="shared" si="23"/>
        <v>#DIV/0!</v>
      </c>
      <c r="BA45" s="30" t="e">
        <f t="shared" si="24"/>
        <v>#DIV/0!</v>
      </c>
      <c r="BB45" s="30" t="e">
        <f t="shared" si="25"/>
        <v>#DIV/0!</v>
      </c>
      <c r="BC45" s="30" t="e">
        <f t="shared" si="26"/>
        <v>#DIV/0!</v>
      </c>
      <c r="BD45" s="107">
        <f t="shared" si="27"/>
        <v>0</v>
      </c>
      <c r="BE45" s="108">
        <f t="shared" si="28"/>
        <v>0</v>
      </c>
      <c r="BF45" s="27" t="str">
        <f t="shared" si="29"/>
        <v/>
      </c>
      <c r="BG45" s="27" t="e">
        <f t="shared" si="30"/>
        <v>#DIV/0!</v>
      </c>
      <c r="BH45" t="e">
        <f t="shared" si="31"/>
        <v>#DIV/0!</v>
      </c>
      <c r="BI45">
        <f t="shared" si="32"/>
        <v>0</v>
      </c>
      <c r="BJ45">
        <f t="shared" si="33"/>
        <v>0</v>
      </c>
      <c r="BK45">
        <f t="shared" si="34"/>
        <v>0</v>
      </c>
      <c r="BL45">
        <f t="shared" si="35"/>
        <v>0</v>
      </c>
      <c r="BM45">
        <f t="shared" si="36"/>
        <v>0</v>
      </c>
      <c r="BN45">
        <f t="shared" si="37"/>
        <v>0</v>
      </c>
    </row>
    <row r="46" spans="1:66" hidden="1">
      <c r="A46" s="95" t="str">
        <f>IF(ISERROR(VLOOKUP(E46,CON!$C$53:$C$70,1,FALSE)),IF(ISERROR(VLOOKUP(E46,'PSP-AAA'!$C$51:$C$72,1,FALSE)),IF(ISERROR(VLOOKUP(E46,'NH-AA'!$C$51:$C$72,1,FALSE)),IF(ISERROR(VLOOKUP(E46,'CRG-A'!$C$51:$C$72,1,FALSE)),IF(ISERROR(VLOOKUP(E46,'PC-S A'!$C$51:$C$72,1,FALSE)),"","S A"),"A"),"AA"),"AAA"),"ML")</f>
        <v/>
      </c>
      <c r="C46" t="str">
        <f t="shared" si="20"/>
        <v>T</v>
      </c>
      <c r="D46" s="27"/>
      <c r="E46" s="27"/>
      <c r="F46" s="27"/>
      <c r="G46" s="27"/>
      <c r="H46" s="27"/>
      <c r="I46" s="27"/>
      <c r="J46" s="28"/>
      <c r="K46" s="27"/>
      <c r="L46" s="27"/>
      <c r="M46" s="27"/>
      <c r="N46" s="28"/>
      <c r="O46" s="27"/>
      <c r="P46" s="27"/>
      <c r="Q46" s="28"/>
      <c r="R46" s="27"/>
      <c r="S46" s="27"/>
      <c r="T46" s="28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8"/>
      <c r="AS46" s="27"/>
      <c r="AT46" s="27"/>
      <c r="AU46" s="82"/>
      <c r="AV46" s="86"/>
      <c r="AW46" s="28"/>
      <c r="AX46" s="29" t="e">
        <f t="shared" si="21"/>
        <v>#DIV/0!</v>
      </c>
      <c r="AY46" s="30" t="e">
        <f t="shared" si="22"/>
        <v>#DIV/0!</v>
      </c>
      <c r="AZ46" s="30" t="e">
        <f t="shared" si="23"/>
        <v>#DIV/0!</v>
      </c>
      <c r="BA46" s="30" t="e">
        <f t="shared" si="24"/>
        <v>#DIV/0!</v>
      </c>
      <c r="BB46" s="30" t="e">
        <f t="shared" si="25"/>
        <v>#DIV/0!</v>
      </c>
      <c r="BC46" s="30" t="e">
        <f t="shared" si="26"/>
        <v>#DIV/0!</v>
      </c>
      <c r="BD46" s="107">
        <f t="shared" si="27"/>
        <v>0</v>
      </c>
      <c r="BE46" s="108">
        <f t="shared" si="28"/>
        <v>0</v>
      </c>
      <c r="BF46" s="27" t="str">
        <f t="shared" si="29"/>
        <v/>
      </c>
      <c r="BG46" s="27" t="e">
        <f t="shared" si="30"/>
        <v>#DIV/0!</v>
      </c>
      <c r="BH46" t="e">
        <f t="shared" si="31"/>
        <v>#DIV/0!</v>
      </c>
      <c r="BI46">
        <f t="shared" si="32"/>
        <v>0</v>
      </c>
      <c r="BJ46">
        <f t="shared" si="33"/>
        <v>0</v>
      </c>
      <c r="BK46">
        <f t="shared" si="34"/>
        <v>0</v>
      </c>
      <c r="BL46">
        <f t="shared" si="35"/>
        <v>0</v>
      </c>
      <c r="BM46">
        <f t="shared" si="36"/>
        <v>0</v>
      </c>
      <c r="BN46">
        <f t="shared" si="37"/>
        <v>0</v>
      </c>
    </row>
    <row r="47" spans="1:66" hidden="1">
      <c r="A47" s="95" t="str">
        <f>IF(ISERROR(VLOOKUP(E47,CON!$C$53:$C$70,1,FALSE)),IF(ISERROR(VLOOKUP(E47,'PSP-AAA'!$C$51:$C$72,1,FALSE)),IF(ISERROR(VLOOKUP(E47,'NH-AA'!$C$51:$C$72,1,FALSE)),IF(ISERROR(VLOOKUP(E47,'CRG-A'!$C$51:$C$72,1,FALSE)),IF(ISERROR(VLOOKUP(E47,'PC-S A'!$C$51:$C$72,1,FALSE)),"","S A"),"A"),"AA"),"AAA"),"ML")</f>
        <v/>
      </c>
      <c r="C47" t="str">
        <f t="shared" si="20"/>
        <v>T</v>
      </c>
      <c r="D47" s="27"/>
      <c r="E47" s="27"/>
      <c r="F47" s="27"/>
      <c r="G47" s="27"/>
      <c r="H47" s="27"/>
      <c r="I47" s="27"/>
      <c r="J47" s="28"/>
      <c r="K47" s="27"/>
      <c r="L47" s="27"/>
      <c r="M47" s="27"/>
      <c r="N47" s="28"/>
      <c r="O47" s="27"/>
      <c r="P47" s="27"/>
      <c r="Q47" s="28"/>
      <c r="R47" s="27"/>
      <c r="S47" s="27"/>
      <c r="T47" s="28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8"/>
      <c r="AS47" s="27"/>
      <c r="AT47" s="27"/>
      <c r="AU47" s="82"/>
      <c r="AV47" s="86"/>
      <c r="AW47" s="28"/>
      <c r="AX47" s="29" t="e">
        <f t="shared" si="21"/>
        <v>#DIV/0!</v>
      </c>
      <c r="AY47" s="30" t="e">
        <f t="shared" si="22"/>
        <v>#DIV/0!</v>
      </c>
      <c r="AZ47" s="30" t="e">
        <f t="shared" si="23"/>
        <v>#DIV/0!</v>
      </c>
      <c r="BA47" s="30" t="e">
        <f t="shared" si="24"/>
        <v>#DIV/0!</v>
      </c>
      <c r="BB47" s="30" t="e">
        <f t="shared" si="25"/>
        <v>#DIV/0!</v>
      </c>
      <c r="BC47" s="30" t="e">
        <f t="shared" si="26"/>
        <v>#DIV/0!</v>
      </c>
      <c r="BD47" s="107">
        <f t="shared" si="27"/>
        <v>0</v>
      </c>
      <c r="BE47" s="108">
        <f t="shared" si="28"/>
        <v>0</v>
      </c>
      <c r="BF47" s="27" t="str">
        <f t="shared" si="29"/>
        <v/>
      </c>
      <c r="BG47" s="27" t="e">
        <f t="shared" si="30"/>
        <v>#DIV/0!</v>
      </c>
      <c r="BH47" t="e">
        <f t="shared" si="31"/>
        <v>#DIV/0!</v>
      </c>
      <c r="BI47">
        <f t="shared" si="32"/>
        <v>0</v>
      </c>
      <c r="BJ47">
        <f t="shared" si="33"/>
        <v>0</v>
      </c>
      <c r="BK47">
        <f t="shared" si="34"/>
        <v>0</v>
      </c>
      <c r="BL47">
        <f t="shared" si="35"/>
        <v>0</v>
      </c>
      <c r="BM47">
        <f t="shared" si="36"/>
        <v>0</v>
      </c>
      <c r="BN47">
        <f t="shared" si="37"/>
        <v>0</v>
      </c>
    </row>
    <row r="48" spans="1:66" hidden="1">
      <c r="A48" s="95" t="str">
        <f>IF(ISERROR(VLOOKUP(E48,CON!$C$53:$C$70,1,FALSE)),IF(ISERROR(VLOOKUP(E48,'PSP-AAA'!$C$51:$C$72,1,FALSE)),IF(ISERROR(VLOOKUP(E48,'NH-AA'!$C$51:$C$72,1,FALSE)),IF(ISERROR(VLOOKUP(E48,'CRG-A'!$C$51:$C$72,1,FALSE)),IF(ISERROR(VLOOKUP(E48,'PC-S A'!$C$51:$C$72,1,FALSE)),"","S A"),"A"),"AA"),"AAA"),"ML")</f>
        <v/>
      </c>
      <c r="C48" t="str">
        <f t="shared" si="20"/>
        <v>T</v>
      </c>
      <c r="D48" s="27"/>
      <c r="E48" s="27"/>
      <c r="F48" s="27"/>
      <c r="G48" s="27"/>
      <c r="H48" s="27"/>
      <c r="I48" s="27"/>
      <c r="J48" s="28"/>
      <c r="K48" s="27"/>
      <c r="L48" s="27"/>
      <c r="M48" s="27"/>
      <c r="N48" s="28"/>
      <c r="O48" s="27"/>
      <c r="P48" s="27"/>
      <c r="Q48" s="28"/>
      <c r="R48" s="27"/>
      <c r="S48" s="27"/>
      <c r="T48" s="28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8"/>
      <c r="AS48" s="27"/>
      <c r="AT48" s="27"/>
      <c r="AU48" s="82"/>
      <c r="AV48" s="86"/>
      <c r="AW48" s="28"/>
      <c r="AX48" s="29" t="e">
        <f t="shared" si="21"/>
        <v>#DIV/0!</v>
      </c>
      <c r="AY48" s="30" t="e">
        <f t="shared" si="22"/>
        <v>#DIV/0!</v>
      </c>
      <c r="AZ48" s="30" t="e">
        <f t="shared" si="23"/>
        <v>#DIV/0!</v>
      </c>
      <c r="BA48" s="30" t="e">
        <f t="shared" si="24"/>
        <v>#DIV/0!</v>
      </c>
      <c r="BB48" s="30" t="e">
        <f t="shared" si="25"/>
        <v>#DIV/0!</v>
      </c>
      <c r="BC48" s="30" t="e">
        <f t="shared" si="26"/>
        <v>#DIV/0!</v>
      </c>
      <c r="BD48" s="107">
        <f t="shared" si="27"/>
        <v>0</v>
      </c>
      <c r="BE48" s="108">
        <f t="shared" si="28"/>
        <v>0</v>
      </c>
      <c r="BF48" s="27" t="str">
        <f t="shared" si="29"/>
        <v/>
      </c>
      <c r="BG48" s="27" t="e">
        <f t="shared" si="30"/>
        <v>#DIV/0!</v>
      </c>
      <c r="BH48" t="e">
        <f t="shared" si="31"/>
        <v>#DIV/0!</v>
      </c>
      <c r="BI48">
        <f t="shared" si="32"/>
        <v>0</v>
      </c>
      <c r="BJ48">
        <f t="shared" si="33"/>
        <v>0</v>
      </c>
      <c r="BK48">
        <f t="shared" si="34"/>
        <v>0</v>
      </c>
      <c r="BL48">
        <f t="shared" si="35"/>
        <v>0</v>
      </c>
      <c r="BM48">
        <f t="shared" si="36"/>
        <v>0</v>
      </c>
      <c r="BN48">
        <f t="shared" si="37"/>
        <v>0</v>
      </c>
    </row>
    <row r="49" spans="1:66" hidden="1">
      <c r="A49" s="95" t="str">
        <f>IF(ISERROR(VLOOKUP(E49,CON!$C$53:$C$70,1,FALSE)),IF(ISERROR(VLOOKUP(E49,'PSP-AAA'!$C$51:$C$72,1,FALSE)),IF(ISERROR(VLOOKUP(E49,'NH-AA'!$C$51:$C$72,1,FALSE)),IF(ISERROR(VLOOKUP(E49,'CRG-A'!$C$51:$C$72,1,FALSE)),IF(ISERROR(VLOOKUP(E49,'PC-S A'!$C$51:$C$72,1,FALSE)),"","S A"),"A"),"AA"),"AAA"),"ML")</f>
        <v/>
      </c>
      <c r="C49" t="str">
        <f t="shared" si="20"/>
        <v>T</v>
      </c>
      <c r="D49" s="27"/>
      <c r="E49" s="27"/>
      <c r="F49" s="27"/>
      <c r="G49" s="27"/>
      <c r="H49" s="27"/>
      <c r="I49" s="27"/>
      <c r="J49" s="28"/>
      <c r="K49" s="27"/>
      <c r="L49" s="27"/>
      <c r="M49" s="27"/>
      <c r="N49" s="28"/>
      <c r="O49" s="27"/>
      <c r="P49" s="27"/>
      <c r="Q49" s="28"/>
      <c r="R49" s="27"/>
      <c r="S49" s="27"/>
      <c r="T49" s="28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8"/>
      <c r="AS49" s="27"/>
      <c r="AT49" s="27"/>
      <c r="AU49" s="82"/>
      <c r="AV49" s="86"/>
      <c r="AW49" s="28"/>
      <c r="AX49" s="29" t="e">
        <f t="shared" si="21"/>
        <v>#DIV/0!</v>
      </c>
      <c r="AY49" s="30" t="e">
        <f t="shared" si="22"/>
        <v>#DIV/0!</v>
      </c>
      <c r="AZ49" s="30" t="e">
        <f t="shared" si="23"/>
        <v>#DIV/0!</v>
      </c>
      <c r="BA49" s="30" t="e">
        <f t="shared" si="24"/>
        <v>#DIV/0!</v>
      </c>
      <c r="BB49" s="30" t="e">
        <f t="shared" si="25"/>
        <v>#DIV/0!</v>
      </c>
      <c r="BC49" s="30" t="e">
        <f t="shared" si="26"/>
        <v>#DIV/0!</v>
      </c>
      <c r="BD49" s="107">
        <f t="shared" si="27"/>
        <v>0</v>
      </c>
      <c r="BE49" s="108">
        <f t="shared" si="28"/>
        <v>0</v>
      </c>
      <c r="BF49" s="27" t="str">
        <f t="shared" si="29"/>
        <v/>
      </c>
      <c r="BG49" s="27" t="e">
        <f t="shared" si="30"/>
        <v>#DIV/0!</v>
      </c>
      <c r="BH49" t="e">
        <f t="shared" si="31"/>
        <v>#DIV/0!</v>
      </c>
      <c r="BI49">
        <f t="shared" si="32"/>
        <v>0</v>
      </c>
      <c r="BJ49">
        <f t="shared" si="33"/>
        <v>0</v>
      </c>
      <c r="BK49">
        <f t="shared" si="34"/>
        <v>0</v>
      </c>
      <c r="BL49">
        <f t="shared" si="35"/>
        <v>0</v>
      </c>
      <c r="BM49">
        <f t="shared" si="36"/>
        <v>0</v>
      </c>
      <c r="BN49">
        <f t="shared" si="37"/>
        <v>0</v>
      </c>
    </row>
    <row r="50" spans="1:66" hidden="1">
      <c r="A50" s="95" t="str">
        <f>IF(ISERROR(VLOOKUP(E50,CON!$C$53:$C$70,1,FALSE)),IF(ISERROR(VLOOKUP(E50,'PSP-AAA'!$C$51:$C$72,1,FALSE)),IF(ISERROR(VLOOKUP(E50,'NH-AA'!$C$51:$C$72,1,FALSE)),IF(ISERROR(VLOOKUP(E50,'CRG-A'!$C$51:$C$72,1,FALSE)),IF(ISERROR(VLOOKUP(E50,'PC-S A'!$C$51:$C$72,1,FALSE)),"","S A"),"A"),"AA"),"AAA"),"ML")</f>
        <v/>
      </c>
      <c r="C50" t="str">
        <f t="shared" si="20"/>
        <v>T</v>
      </c>
      <c r="D50" s="27"/>
      <c r="E50" s="27"/>
      <c r="F50" s="27"/>
      <c r="G50" s="27"/>
      <c r="H50" s="27"/>
      <c r="I50" s="27"/>
      <c r="J50" s="28"/>
      <c r="K50" s="27"/>
      <c r="L50" s="27"/>
      <c r="M50" s="27"/>
      <c r="N50" s="28"/>
      <c r="O50" s="27"/>
      <c r="P50" s="27"/>
      <c r="Q50" s="28"/>
      <c r="R50" s="27"/>
      <c r="S50" s="27"/>
      <c r="T50" s="28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8"/>
      <c r="AS50" s="27"/>
      <c r="AT50" s="27"/>
      <c r="AU50" s="82"/>
      <c r="AV50" s="86"/>
      <c r="AW50" s="28"/>
      <c r="AX50" s="29" t="e">
        <f t="shared" si="21"/>
        <v>#DIV/0!</v>
      </c>
      <c r="AY50" s="30" t="e">
        <f t="shared" si="22"/>
        <v>#DIV/0!</v>
      </c>
      <c r="AZ50" s="30" t="e">
        <f t="shared" si="23"/>
        <v>#DIV/0!</v>
      </c>
      <c r="BA50" s="30" t="e">
        <f t="shared" si="24"/>
        <v>#DIV/0!</v>
      </c>
      <c r="BB50" s="30" t="e">
        <f t="shared" si="25"/>
        <v>#DIV/0!</v>
      </c>
      <c r="BC50" s="30" t="e">
        <f t="shared" si="26"/>
        <v>#DIV/0!</v>
      </c>
      <c r="BD50" s="107">
        <f t="shared" si="27"/>
        <v>0</v>
      </c>
      <c r="BE50" s="108">
        <f t="shared" si="28"/>
        <v>0</v>
      </c>
      <c r="BF50" s="27" t="str">
        <f t="shared" si="29"/>
        <v/>
      </c>
      <c r="BG50" s="27" t="e">
        <f t="shared" si="30"/>
        <v>#DIV/0!</v>
      </c>
      <c r="BH50" t="e">
        <f t="shared" si="31"/>
        <v>#DIV/0!</v>
      </c>
      <c r="BI50">
        <f t="shared" si="32"/>
        <v>0</v>
      </c>
      <c r="BJ50">
        <f t="shared" si="33"/>
        <v>0</v>
      </c>
      <c r="BK50">
        <f t="shared" si="34"/>
        <v>0</v>
      </c>
      <c r="BL50">
        <f t="shared" si="35"/>
        <v>0</v>
      </c>
      <c r="BM50">
        <f t="shared" si="36"/>
        <v>0</v>
      </c>
      <c r="BN50">
        <f t="shared" si="37"/>
        <v>0</v>
      </c>
    </row>
    <row r="51" spans="1:66" hidden="1">
      <c r="A51" s="95" t="str">
        <f>IF(ISERROR(VLOOKUP(E51,CON!$C$53:$C$70,1,FALSE)),IF(ISERROR(VLOOKUP(E51,'PSP-AAA'!$C$51:$C$72,1,FALSE)),IF(ISERROR(VLOOKUP(E51,'NH-AA'!$C$51:$C$72,1,FALSE)),IF(ISERROR(VLOOKUP(E51,'CRG-A'!$C$51:$C$72,1,FALSE)),IF(ISERROR(VLOOKUP(E51,'PC-S A'!$C$51:$C$72,1,FALSE)),"","S A"),"A"),"AA"),"AAA"),"ML")</f>
        <v/>
      </c>
      <c r="C51" t="str">
        <f t="shared" si="20"/>
        <v>T</v>
      </c>
      <c r="D51" s="27"/>
      <c r="E51" s="27"/>
      <c r="F51" s="27"/>
      <c r="G51" s="27"/>
      <c r="H51" s="27"/>
      <c r="I51" s="27"/>
      <c r="J51" s="28"/>
      <c r="K51" s="27"/>
      <c r="L51" s="27"/>
      <c r="M51" s="27"/>
      <c r="N51" s="28"/>
      <c r="O51" s="27"/>
      <c r="P51" s="27"/>
      <c r="Q51" s="28"/>
      <c r="R51" s="27"/>
      <c r="S51" s="27"/>
      <c r="T51" s="28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8"/>
      <c r="AS51" s="27"/>
      <c r="AT51" s="27"/>
      <c r="AU51" s="82"/>
      <c r="AV51" s="86"/>
      <c r="AW51" s="28"/>
      <c r="AX51" s="29" t="e">
        <f t="shared" si="21"/>
        <v>#DIV/0!</v>
      </c>
      <c r="AY51" s="30" t="e">
        <f t="shared" si="22"/>
        <v>#DIV/0!</v>
      </c>
      <c r="AZ51" s="30" t="e">
        <f t="shared" si="23"/>
        <v>#DIV/0!</v>
      </c>
      <c r="BA51" s="30" t="e">
        <f t="shared" si="24"/>
        <v>#DIV/0!</v>
      </c>
      <c r="BB51" s="30" t="e">
        <f t="shared" si="25"/>
        <v>#DIV/0!</v>
      </c>
      <c r="BC51" s="30" t="e">
        <f t="shared" si="26"/>
        <v>#DIV/0!</v>
      </c>
      <c r="BD51" s="107">
        <f t="shared" si="27"/>
        <v>0</v>
      </c>
      <c r="BE51" s="108">
        <f t="shared" si="28"/>
        <v>0</v>
      </c>
      <c r="BF51" s="27" t="str">
        <f t="shared" si="29"/>
        <v/>
      </c>
      <c r="BG51" s="27" t="e">
        <f t="shared" si="30"/>
        <v>#DIV/0!</v>
      </c>
      <c r="BH51" t="e">
        <f t="shared" si="31"/>
        <v>#DIV/0!</v>
      </c>
      <c r="BI51">
        <f t="shared" si="32"/>
        <v>0</v>
      </c>
      <c r="BJ51">
        <f t="shared" si="33"/>
        <v>0</v>
      </c>
      <c r="BK51">
        <f t="shared" si="34"/>
        <v>0</v>
      </c>
      <c r="BL51">
        <f t="shared" si="35"/>
        <v>0</v>
      </c>
      <c r="BM51">
        <f t="shared" si="36"/>
        <v>0</v>
      </c>
      <c r="BN51">
        <f t="shared" si="37"/>
        <v>0</v>
      </c>
    </row>
    <row r="52" spans="1:66" hidden="1">
      <c r="A52" s="95" t="str">
        <f>IF(ISERROR(VLOOKUP(E52,CON!$C$53:$C$70,1,FALSE)),IF(ISERROR(VLOOKUP(E52,'PSP-AAA'!$C$51:$C$72,1,FALSE)),IF(ISERROR(VLOOKUP(E52,'NH-AA'!$C$51:$C$72,1,FALSE)),IF(ISERROR(VLOOKUP(E52,'CRG-A'!$C$51:$C$72,1,FALSE)),IF(ISERROR(VLOOKUP(E52,'PC-S A'!$C$51:$C$72,1,FALSE)),"","S A"),"A"),"AA"),"AAA"),"ML")</f>
        <v/>
      </c>
      <c r="C52" t="str">
        <f t="shared" si="20"/>
        <v>T</v>
      </c>
      <c r="D52" s="27"/>
      <c r="E52" s="27"/>
      <c r="F52" s="27"/>
      <c r="G52" s="27"/>
      <c r="H52" s="27"/>
      <c r="I52" s="27"/>
      <c r="J52" s="28"/>
      <c r="K52" s="27"/>
      <c r="L52" s="27"/>
      <c r="M52" s="27"/>
      <c r="N52" s="28"/>
      <c r="O52" s="27"/>
      <c r="P52" s="27"/>
      <c r="Q52" s="28"/>
      <c r="R52" s="27"/>
      <c r="S52" s="27"/>
      <c r="T52" s="28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8"/>
      <c r="AS52" s="27"/>
      <c r="AT52" s="27"/>
      <c r="AU52" s="82"/>
      <c r="AV52" s="86"/>
      <c r="AW52" s="28"/>
      <c r="AX52" s="29" t="e">
        <f t="shared" si="21"/>
        <v>#DIV/0!</v>
      </c>
      <c r="AY52" s="30" t="e">
        <f t="shared" si="22"/>
        <v>#DIV/0!</v>
      </c>
      <c r="AZ52" s="30" t="e">
        <f t="shared" si="23"/>
        <v>#DIV/0!</v>
      </c>
      <c r="BA52" s="30" t="e">
        <f t="shared" si="24"/>
        <v>#DIV/0!</v>
      </c>
      <c r="BB52" s="30" t="e">
        <f t="shared" si="25"/>
        <v>#DIV/0!</v>
      </c>
      <c r="BC52" s="30" t="e">
        <f t="shared" si="26"/>
        <v>#DIV/0!</v>
      </c>
      <c r="BD52" s="107">
        <f t="shared" si="27"/>
        <v>0</v>
      </c>
      <c r="BE52" s="108">
        <f t="shared" si="28"/>
        <v>0</v>
      </c>
      <c r="BF52" s="27" t="str">
        <f t="shared" si="29"/>
        <v/>
      </c>
      <c r="BG52" s="27" t="e">
        <f t="shared" si="30"/>
        <v>#DIV/0!</v>
      </c>
      <c r="BH52" t="e">
        <f t="shared" si="31"/>
        <v>#DIV/0!</v>
      </c>
      <c r="BI52">
        <f t="shared" si="32"/>
        <v>0</v>
      </c>
      <c r="BJ52">
        <f t="shared" si="33"/>
        <v>0</v>
      </c>
      <c r="BK52">
        <f t="shared" si="34"/>
        <v>0</v>
      </c>
      <c r="BL52">
        <f t="shared" si="35"/>
        <v>0</v>
      </c>
      <c r="BM52">
        <f t="shared" si="36"/>
        <v>0</v>
      </c>
      <c r="BN52">
        <f t="shared" si="37"/>
        <v>0</v>
      </c>
    </row>
    <row r="53" spans="1:66" hidden="1">
      <c r="A53" s="95" t="str">
        <f>IF(ISERROR(VLOOKUP(E53,CON!$C$53:$C$70,1,FALSE)),IF(ISERROR(VLOOKUP(E53,'PSP-AAA'!$C$51:$C$72,1,FALSE)),IF(ISERROR(VLOOKUP(E53,'NH-AA'!$C$51:$C$72,1,FALSE)),IF(ISERROR(VLOOKUP(E53,'CRG-A'!$C$51:$C$72,1,FALSE)),IF(ISERROR(VLOOKUP(E53,'PC-S A'!$C$51:$C$72,1,FALSE)),"","S A"),"A"),"AA"),"AAA"),"ML")</f>
        <v/>
      </c>
      <c r="C53" t="str">
        <f t="shared" si="20"/>
        <v>T</v>
      </c>
      <c r="D53" s="27"/>
      <c r="E53" s="27"/>
      <c r="F53" s="27"/>
      <c r="G53" s="27"/>
      <c r="H53" s="27"/>
      <c r="I53" s="27"/>
      <c r="J53" s="28"/>
      <c r="K53" s="27"/>
      <c r="L53" s="27"/>
      <c r="M53" s="27"/>
      <c r="N53" s="28"/>
      <c r="O53" s="27"/>
      <c r="P53" s="27"/>
      <c r="Q53" s="28"/>
      <c r="R53" s="27"/>
      <c r="S53" s="27"/>
      <c r="T53" s="28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8"/>
      <c r="AS53" s="27"/>
      <c r="AT53" s="27"/>
      <c r="AU53" s="82"/>
      <c r="AV53" s="86"/>
      <c r="AW53" s="28"/>
      <c r="AX53" s="29" t="e">
        <f t="shared" si="21"/>
        <v>#DIV/0!</v>
      </c>
      <c r="AY53" s="30" t="e">
        <f t="shared" si="22"/>
        <v>#DIV/0!</v>
      </c>
      <c r="AZ53" s="30" t="e">
        <f t="shared" si="23"/>
        <v>#DIV/0!</v>
      </c>
      <c r="BA53" s="30" t="e">
        <f t="shared" si="24"/>
        <v>#DIV/0!</v>
      </c>
      <c r="BB53" s="30" t="e">
        <f t="shared" si="25"/>
        <v>#DIV/0!</v>
      </c>
      <c r="BC53" s="30" t="e">
        <f t="shared" si="26"/>
        <v>#DIV/0!</v>
      </c>
      <c r="BD53" s="107">
        <f t="shared" si="27"/>
        <v>0</v>
      </c>
      <c r="BE53" s="108">
        <f t="shared" si="28"/>
        <v>0</v>
      </c>
      <c r="BF53" s="27" t="str">
        <f t="shared" si="29"/>
        <v/>
      </c>
      <c r="BG53" s="27" t="e">
        <f t="shared" si="30"/>
        <v>#DIV/0!</v>
      </c>
      <c r="BH53" t="e">
        <f t="shared" si="31"/>
        <v>#DIV/0!</v>
      </c>
      <c r="BI53">
        <f t="shared" si="32"/>
        <v>0</v>
      </c>
      <c r="BJ53">
        <f t="shared" si="33"/>
        <v>0</v>
      </c>
      <c r="BK53">
        <f t="shared" si="34"/>
        <v>0</v>
      </c>
      <c r="BL53">
        <f t="shared" si="35"/>
        <v>0</v>
      </c>
      <c r="BM53">
        <f t="shared" si="36"/>
        <v>0</v>
      </c>
      <c r="BN53">
        <f t="shared" si="37"/>
        <v>0</v>
      </c>
    </row>
    <row r="54" spans="1:66" hidden="1">
      <c r="A54" s="95" t="str">
        <f>IF(ISERROR(VLOOKUP(E54,CON!$C$53:$C$70,1,FALSE)),IF(ISERROR(VLOOKUP(E54,'PSP-AAA'!$C$51:$C$72,1,FALSE)),IF(ISERROR(VLOOKUP(E54,'NH-AA'!$C$51:$C$72,1,FALSE)),IF(ISERROR(VLOOKUP(E54,'CRG-A'!$C$51:$C$72,1,FALSE)),IF(ISERROR(VLOOKUP(E54,'PC-S A'!$C$51:$C$72,1,FALSE)),"","S A"),"A"),"AA"),"AAA"),"ML")</f>
        <v/>
      </c>
      <c r="C54" t="str">
        <f t="shared" si="20"/>
        <v>T</v>
      </c>
      <c r="D54" s="27"/>
      <c r="E54" s="27"/>
      <c r="F54" s="27"/>
      <c r="G54" s="27"/>
      <c r="H54" s="27"/>
      <c r="I54" s="27"/>
      <c r="J54" s="28"/>
      <c r="K54" s="27"/>
      <c r="L54" s="27"/>
      <c r="M54" s="27"/>
      <c r="N54" s="28"/>
      <c r="O54" s="27"/>
      <c r="P54" s="27"/>
      <c r="Q54" s="28"/>
      <c r="R54" s="27"/>
      <c r="S54" s="27"/>
      <c r="T54" s="28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8"/>
      <c r="AS54" s="27"/>
      <c r="AT54" s="27"/>
      <c r="AU54" s="82"/>
      <c r="AV54" s="86"/>
      <c r="AW54" s="28"/>
      <c r="AX54" s="29" t="e">
        <f t="shared" si="21"/>
        <v>#DIV/0!</v>
      </c>
      <c r="AY54" s="30" t="e">
        <f t="shared" si="22"/>
        <v>#DIV/0!</v>
      </c>
      <c r="AZ54" s="30" t="e">
        <f t="shared" si="23"/>
        <v>#DIV/0!</v>
      </c>
      <c r="BA54" s="30" t="e">
        <f t="shared" si="24"/>
        <v>#DIV/0!</v>
      </c>
      <c r="BB54" s="30" t="e">
        <f t="shared" si="25"/>
        <v>#DIV/0!</v>
      </c>
      <c r="BC54" s="30" t="e">
        <f t="shared" si="26"/>
        <v>#DIV/0!</v>
      </c>
      <c r="BD54" s="107">
        <f t="shared" si="27"/>
        <v>0</v>
      </c>
      <c r="BE54" s="108">
        <f t="shared" si="28"/>
        <v>0</v>
      </c>
      <c r="BF54" s="27" t="str">
        <f t="shared" si="29"/>
        <v/>
      </c>
      <c r="BG54" s="27" t="e">
        <f t="shared" si="30"/>
        <v>#DIV/0!</v>
      </c>
      <c r="BH54" t="e">
        <f t="shared" si="31"/>
        <v>#DIV/0!</v>
      </c>
      <c r="BI54">
        <f t="shared" si="32"/>
        <v>0</v>
      </c>
      <c r="BJ54">
        <f t="shared" si="33"/>
        <v>0</v>
      </c>
      <c r="BK54">
        <f t="shared" si="34"/>
        <v>0</v>
      </c>
      <c r="BL54">
        <f t="shared" si="35"/>
        <v>0</v>
      </c>
      <c r="BM54">
        <f t="shared" si="36"/>
        <v>0</v>
      </c>
      <c r="BN54">
        <f t="shared" si="37"/>
        <v>0</v>
      </c>
    </row>
    <row r="55" spans="1:66" hidden="1">
      <c r="A55" s="95" t="str">
        <f>IF(ISERROR(VLOOKUP(E55,CON!$C$53:$C$70,1,FALSE)),IF(ISERROR(VLOOKUP(E55,'PSP-AAA'!$C$51:$C$72,1,FALSE)),IF(ISERROR(VLOOKUP(E55,'NH-AA'!$C$51:$C$72,1,FALSE)),IF(ISERROR(VLOOKUP(E55,'CRG-A'!$C$51:$C$72,1,FALSE)),IF(ISERROR(VLOOKUP(E55,'PC-S A'!$C$51:$C$72,1,FALSE)),"","S A"),"A"),"AA"),"AAA"),"ML")</f>
        <v/>
      </c>
      <c r="C55" t="str">
        <f t="shared" si="20"/>
        <v>T</v>
      </c>
      <c r="D55" s="27"/>
      <c r="E55" s="27"/>
      <c r="F55" s="27"/>
      <c r="G55" s="27"/>
      <c r="H55" s="27"/>
      <c r="I55" s="27"/>
      <c r="J55" s="28"/>
      <c r="K55" s="27"/>
      <c r="L55" s="27"/>
      <c r="M55" s="27"/>
      <c r="N55" s="28"/>
      <c r="O55" s="27"/>
      <c r="P55" s="27"/>
      <c r="Q55" s="28"/>
      <c r="R55" s="27"/>
      <c r="S55" s="27"/>
      <c r="T55" s="28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8"/>
      <c r="AS55" s="27"/>
      <c r="AT55" s="27"/>
      <c r="AU55" s="82"/>
      <c r="AV55" s="86"/>
      <c r="AW55" s="28"/>
      <c r="AX55" s="29" t="e">
        <f t="shared" si="21"/>
        <v>#DIV/0!</v>
      </c>
      <c r="AY55" s="30" t="e">
        <f t="shared" si="22"/>
        <v>#DIV/0!</v>
      </c>
      <c r="AZ55" s="30" t="e">
        <f t="shared" si="23"/>
        <v>#DIV/0!</v>
      </c>
      <c r="BA55" s="30" t="e">
        <f t="shared" si="24"/>
        <v>#DIV/0!</v>
      </c>
      <c r="BB55" s="30" t="e">
        <f t="shared" si="25"/>
        <v>#DIV/0!</v>
      </c>
      <c r="BC55" s="30" t="e">
        <f t="shared" si="26"/>
        <v>#DIV/0!</v>
      </c>
      <c r="BD55" s="107">
        <f t="shared" si="27"/>
        <v>0</v>
      </c>
      <c r="BE55" s="108">
        <f t="shared" si="28"/>
        <v>0</v>
      </c>
      <c r="BF55" s="27" t="str">
        <f t="shared" si="29"/>
        <v/>
      </c>
      <c r="BG55" s="27" t="e">
        <f t="shared" si="30"/>
        <v>#DIV/0!</v>
      </c>
      <c r="BH55" t="e">
        <f t="shared" si="31"/>
        <v>#DIV/0!</v>
      </c>
      <c r="BI55">
        <f t="shared" si="32"/>
        <v>0</v>
      </c>
      <c r="BJ55">
        <f t="shared" si="33"/>
        <v>0</v>
      </c>
      <c r="BK55">
        <f t="shared" si="34"/>
        <v>0</v>
      </c>
      <c r="BL55">
        <f t="shared" si="35"/>
        <v>0</v>
      </c>
      <c r="BM55">
        <f t="shared" si="36"/>
        <v>0</v>
      </c>
      <c r="BN55">
        <f t="shared" si="37"/>
        <v>0</v>
      </c>
    </row>
    <row r="56" spans="1:66" hidden="1">
      <c r="A56" s="95" t="str">
        <f>IF(ISERROR(VLOOKUP(E56,CON!$C$53:$C$70,1,FALSE)),IF(ISERROR(VLOOKUP(E56,'PSP-AAA'!$C$51:$C$72,1,FALSE)),IF(ISERROR(VLOOKUP(E56,'NH-AA'!$C$51:$C$72,1,FALSE)),IF(ISERROR(VLOOKUP(E56,'CRG-A'!$C$51:$C$72,1,FALSE)),IF(ISERROR(VLOOKUP(E56,'PC-S A'!$C$51:$C$72,1,FALSE)),"","S A"),"A"),"AA"),"AAA"),"ML")</f>
        <v/>
      </c>
      <c r="C56" t="str">
        <f t="shared" si="20"/>
        <v>T</v>
      </c>
      <c r="D56" s="27"/>
      <c r="E56" s="27"/>
      <c r="F56" s="27"/>
      <c r="G56" s="27"/>
      <c r="H56" s="27"/>
      <c r="I56" s="27"/>
      <c r="J56" s="28"/>
      <c r="K56" s="27"/>
      <c r="L56" s="27"/>
      <c r="M56" s="27"/>
      <c r="N56" s="28"/>
      <c r="O56" s="27"/>
      <c r="P56" s="27"/>
      <c r="Q56" s="28"/>
      <c r="R56" s="27"/>
      <c r="S56" s="27"/>
      <c r="T56" s="28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8"/>
      <c r="AS56" s="27"/>
      <c r="AT56" s="27"/>
      <c r="AU56" s="82"/>
      <c r="AV56" s="86"/>
      <c r="AW56" s="28"/>
      <c r="AX56" s="29" t="e">
        <f t="shared" si="21"/>
        <v>#DIV/0!</v>
      </c>
      <c r="AY56" s="30" t="e">
        <f t="shared" si="22"/>
        <v>#DIV/0!</v>
      </c>
      <c r="AZ56" s="30" t="e">
        <f t="shared" si="23"/>
        <v>#DIV/0!</v>
      </c>
      <c r="BA56" s="30" t="e">
        <f t="shared" si="24"/>
        <v>#DIV/0!</v>
      </c>
      <c r="BB56" s="30" t="e">
        <f t="shared" si="25"/>
        <v>#DIV/0!</v>
      </c>
      <c r="BC56" s="30" t="e">
        <f t="shared" si="26"/>
        <v>#DIV/0!</v>
      </c>
      <c r="BD56" s="107">
        <f t="shared" si="27"/>
        <v>0</v>
      </c>
      <c r="BE56" s="108">
        <f t="shared" si="28"/>
        <v>0</v>
      </c>
      <c r="BF56" s="27" t="str">
        <f t="shared" si="29"/>
        <v/>
      </c>
      <c r="BG56" s="27" t="e">
        <f t="shared" si="30"/>
        <v>#DIV/0!</v>
      </c>
      <c r="BH56" t="e">
        <f t="shared" si="31"/>
        <v>#DIV/0!</v>
      </c>
      <c r="BI56">
        <f t="shared" si="32"/>
        <v>0</v>
      </c>
      <c r="BJ56">
        <f t="shared" si="33"/>
        <v>0</v>
      </c>
      <c r="BK56">
        <f t="shared" si="34"/>
        <v>0</v>
      </c>
      <c r="BL56">
        <f t="shared" si="35"/>
        <v>0</v>
      </c>
      <c r="BM56">
        <f t="shared" si="36"/>
        <v>0</v>
      </c>
      <c r="BN56">
        <f t="shared" si="37"/>
        <v>0</v>
      </c>
    </row>
    <row r="57" spans="1:66" hidden="1">
      <c r="A57" s="95" t="str">
        <f>IF(ISERROR(VLOOKUP(E57,CON!$C$53:$C$70,1,FALSE)),IF(ISERROR(VLOOKUP(E57,'PSP-AAA'!$C$51:$C$72,1,FALSE)),IF(ISERROR(VLOOKUP(E57,'NH-AA'!$C$51:$C$72,1,FALSE)),IF(ISERROR(VLOOKUP(E57,'CRG-A'!$C$51:$C$72,1,FALSE)),IF(ISERROR(VLOOKUP(E57,'PC-S A'!$C$51:$C$72,1,FALSE)),"","S A"),"A"),"AA"),"AAA"),"ML")</f>
        <v/>
      </c>
      <c r="C57" t="str">
        <f t="shared" si="20"/>
        <v>T</v>
      </c>
      <c r="D57" s="27" t="s">
        <v>107</v>
      </c>
      <c r="E57" s="27" t="s">
        <v>432</v>
      </c>
      <c r="F57" s="27" t="s">
        <v>25</v>
      </c>
      <c r="G57" s="27" t="s">
        <v>207</v>
      </c>
      <c r="H57" s="27">
        <v>33</v>
      </c>
      <c r="I57" s="27" t="s">
        <v>104</v>
      </c>
      <c r="J57" s="28" t="s">
        <v>104</v>
      </c>
      <c r="K57" s="27" t="s">
        <v>42</v>
      </c>
      <c r="L57" s="27" t="s">
        <v>42</v>
      </c>
      <c r="M57" s="27" t="s">
        <v>227</v>
      </c>
      <c r="N57" s="28" t="s">
        <v>226</v>
      </c>
      <c r="O57" s="27">
        <v>5</v>
      </c>
      <c r="P57" s="27">
        <v>5</v>
      </c>
      <c r="Q57" s="28">
        <v>6</v>
      </c>
      <c r="R57" s="27">
        <v>5</v>
      </c>
      <c r="S57" s="27">
        <v>5</v>
      </c>
      <c r="T57" s="28">
        <v>6</v>
      </c>
      <c r="U57" s="27">
        <v>5</v>
      </c>
      <c r="V57" s="27">
        <v>5</v>
      </c>
      <c r="W57" s="27">
        <v>5</v>
      </c>
      <c r="X57" s="27">
        <v>5</v>
      </c>
      <c r="Y57" s="27" t="s">
        <v>41</v>
      </c>
      <c r="Z57" s="27" t="s">
        <v>41</v>
      </c>
      <c r="AA57" s="27">
        <v>5</v>
      </c>
      <c r="AB57" s="27">
        <v>5</v>
      </c>
      <c r="AC57" s="27">
        <v>5</v>
      </c>
      <c r="AD57" s="27">
        <v>5</v>
      </c>
      <c r="AE57" s="27">
        <v>5</v>
      </c>
      <c r="AF57" s="27">
        <v>5</v>
      </c>
      <c r="AG57" s="27">
        <v>5</v>
      </c>
      <c r="AH57" s="27">
        <v>5</v>
      </c>
      <c r="AI57" s="27" t="s">
        <v>41</v>
      </c>
      <c r="AJ57" s="27" t="s">
        <v>41</v>
      </c>
      <c r="AK57" s="27" t="s">
        <v>41</v>
      </c>
      <c r="AL57" s="27" t="s">
        <v>41</v>
      </c>
      <c r="AM57" s="27" t="s">
        <v>41</v>
      </c>
      <c r="AN57" s="27" t="s">
        <v>41</v>
      </c>
      <c r="AO57" s="27">
        <v>5</v>
      </c>
      <c r="AP57" s="27">
        <v>5</v>
      </c>
      <c r="AQ57" s="27" t="s">
        <v>41</v>
      </c>
      <c r="AR57" s="28" t="s">
        <v>41</v>
      </c>
      <c r="AS57" s="27" t="s">
        <v>6</v>
      </c>
      <c r="AT57" s="27">
        <v>10</v>
      </c>
      <c r="AU57" s="82">
        <v>0.64</v>
      </c>
      <c r="AV57" s="86">
        <v>500000</v>
      </c>
      <c r="AW57" s="28" t="s">
        <v>45</v>
      </c>
      <c r="AX57" s="29">
        <f t="shared" si="21"/>
        <v>6.583333333333333</v>
      </c>
      <c r="AY57" s="30" t="str">
        <f t="shared" si="22"/>
        <v>GoodReg</v>
      </c>
      <c r="AZ57" s="30">
        <f t="shared" si="23"/>
        <v>6.583333333333333</v>
      </c>
      <c r="BA57" s="30" t="str">
        <f t="shared" si="24"/>
        <v>GoodReg</v>
      </c>
      <c r="BB57" s="30">
        <f t="shared" si="25"/>
        <v>6.583333333333333</v>
      </c>
      <c r="BC57" s="30" t="str">
        <f t="shared" si="26"/>
        <v>GoodReg</v>
      </c>
      <c r="BD57" s="107">
        <f t="shared" si="27"/>
        <v>7</v>
      </c>
      <c r="BE57" s="108">
        <f t="shared" si="28"/>
        <v>0</v>
      </c>
      <c r="BF57" s="27" t="str">
        <f t="shared" si="29"/>
        <v/>
      </c>
      <c r="BG57" s="27" t="str">
        <f t="shared" si="30"/>
        <v>Possible</v>
      </c>
      <c r="BH57" t="str">
        <f t="shared" si="31"/>
        <v>AAA</v>
      </c>
      <c r="BI57">
        <f t="shared" si="32"/>
        <v>16</v>
      </c>
      <c r="BJ57">
        <f t="shared" si="33"/>
        <v>16</v>
      </c>
      <c r="BK57">
        <f t="shared" si="34"/>
        <v>0</v>
      </c>
      <c r="BL57">
        <f t="shared" si="35"/>
        <v>0</v>
      </c>
      <c r="BM57">
        <f t="shared" si="36"/>
        <v>0</v>
      </c>
      <c r="BN57">
        <f t="shared" si="37"/>
        <v>0</v>
      </c>
    </row>
    <row r="58" spans="1:66">
      <c r="A58" s="95" t="str">
        <f>IF(ISERROR(VLOOKUP(E58,CON!$C$53:$C$70,1,FALSE)),IF(ISERROR(VLOOKUP(E58,'PSP-AAA'!$C$51:$C$72,1,FALSE)),IF(ISERROR(VLOOKUP(E58,'NH-AA'!$C$51:$C$72,1,FALSE)),IF(ISERROR(VLOOKUP(E58,'CRG-A'!$C$51:$C$72,1,FALSE)),IF(ISERROR(VLOOKUP(E58,'PC-S A'!$C$51:$C$72,1,FALSE)),"","S A"),"A"),"AA"),"AAA"),"ML")</f>
        <v/>
      </c>
      <c r="C58" t="str">
        <f t="shared" si="20"/>
        <v>T</v>
      </c>
      <c r="D58" s="27" t="s">
        <v>107</v>
      </c>
      <c r="E58" s="27" t="s">
        <v>430</v>
      </c>
      <c r="F58" s="27" t="s">
        <v>25</v>
      </c>
      <c r="G58" s="27" t="s">
        <v>207</v>
      </c>
      <c r="H58" s="27">
        <v>24</v>
      </c>
      <c r="I58" s="27" t="s">
        <v>103</v>
      </c>
      <c r="J58" s="28" t="s">
        <v>103</v>
      </c>
      <c r="K58" s="27" t="s">
        <v>47</v>
      </c>
      <c r="L58" s="27" t="s">
        <v>42</v>
      </c>
      <c r="M58" s="27" t="s">
        <v>226</v>
      </c>
      <c r="N58" s="28" t="s">
        <v>225</v>
      </c>
      <c r="O58" s="27">
        <v>8</v>
      </c>
      <c r="P58" s="27">
        <v>5</v>
      </c>
      <c r="Q58" s="28">
        <v>4</v>
      </c>
      <c r="R58" s="27">
        <v>8</v>
      </c>
      <c r="S58" s="27">
        <v>5</v>
      </c>
      <c r="T58" s="28">
        <v>5</v>
      </c>
      <c r="U58" s="27">
        <v>7</v>
      </c>
      <c r="V58" s="27">
        <v>7</v>
      </c>
      <c r="W58" s="27">
        <v>9</v>
      </c>
      <c r="X58" s="27">
        <v>9</v>
      </c>
      <c r="Y58" s="27" t="s">
        <v>41</v>
      </c>
      <c r="Z58" s="27" t="s">
        <v>41</v>
      </c>
      <c r="AA58" s="27">
        <v>8</v>
      </c>
      <c r="AB58" s="27">
        <v>8</v>
      </c>
      <c r="AC58" s="27" t="s">
        <v>41</v>
      </c>
      <c r="AD58" s="27" t="s">
        <v>41</v>
      </c>
      <c r="AE58" s="27" t="s">
        <v>41</v>
      </c>
      <c r="AF58" s="27" t="s">
        <v>41</v>
      </c>
      <c r="AG58" s="27" t="s">
        <v>41</v>
      </c>
      <c r="AH58" s="27" t="s">
        <v>41</v>
      </c>
      <c r="AI58" s="27" t="s">
        <v>41</v>
      </c>
      <c r="AJ58" s="27" t="s">
        <v>41</v>
      </c>
      <c r="AK58" s="27" t="s">
        <v>41</v>
      </c>
      <c r="AL58" s="27" t="s">
        <v>41</v>
      </c>
      <c r="AM58" s="27" t="s">
        <v>41</v>
      </c>
      <c r="AN58" s="27" t="s">
        <v>41</v>
      </c>
      <c r="AO58" s="27" t="s">
        <v>41</v>
      </c>
      <c r="AP58" s="27" t="s">
        <v>41</v>
      </c>
      <c r="AQ58" s="27" t="s">
        <v>41</v>
      </c>
      <c r="AR58" s="28" t="s">
        <v>41</v>
      </c>
      <c r="AS58" s="27" t="s">
        <v>3</v>
      </c>
      <c r="AT58" s="27">
        <v>8</v>
      </c>
      <c r="AU58" s="82">
        <v>0.42</v>
      </c>
      <c r="AV58" s="86">
        <v>500000</v>
      </c>
      <c r="AW58" s="28" t="s">
        <v>45</v>
      </c>
      <c r="AX58" s="29">
        <f t="shared" si="21"/>
        <v>5.916666666666667</v>
      </c>
      <c r="AY58" s="30" t="str">
        <f t="shared" si="22"/>
        <v>Reg</v>
      </c>
      <c r="AZ58" s="30">
        <f t="shared" si="23"/>
        <v>6.25</v>
      </c>
      <c r="BA58" s="30" t="str">
        <f t="shared" si="24"/>
        <v>Reg</v>
      </c>
      <c r="BB58" s="30">
        <f t="shared" si="25"/>
        <v>6.25</v>
      </c>
      <c r="BC58" s="30" t="str">
        <f t="shared" si="26"/>
        <v>Reg</v>
      </c>
      <c r="BD58" s="107">
        <f t="shared" si="27"/>
        <v>3</v>
      </c>
      <c r="BE58" s="108">
        <f t="shared" si="28"/>
        <v>3</v>
      </c>
      <c r="BF58" s="27" t="str">
        <f t="shared" si="29"/>
        <v/>
      </c>
      <c r="BG58" s="27" t="str">
        <f t="shared" si="30"/>
        <v>Likely</v>
      </c>
      <c r="BH58" t="str">
        <f t="shared" si="31"/>
        <v>ML</v>
      </c>
      <c r="BI58">
        <f t="shared" si="32"/>
        <v>17</v>
      </c>
      <c r="BJ58">
        <f t="shared" si="33"/>
        <v>18</v>
      </c>
      <c r="BK58">
        <f t="shared" si="34"/>
        <v>0</v>
      </c>
      <c r="BL58">
        <f t="shared" si="35"/>
        <v>0</v>
      </c>
      <c r="BM58">
        <f t="shared" si="36"/>
        <v>-1</v>
      </c>
      <c r="BN58">
        <f t="shared" si="37"/>
        <v>-1</v>
      </c>
    </row>
    <row r="59" spans="1:66">
      <c r="A59" s="95" t="str">
        <f>IF(ISERROR(VLOOKUP(E59,CON!$C$53:$C$70,1,FALSE)),IF(ISERROR(VLOOKUP(E59,'PSP-AAA'!$C$51:$C$72,1,FALSE)),IF(ISERROR(VLOOKUP(E59,'NH-AA'!$C$51:$C$72,1,FALSE)),IF(ISERROR(VLOOKUP(E59,'CRG-A'!$C$51:$C$72,1,FALSE)),IF(ISERROR(VLOOKUP(E59,'PC-S A'!$C$51:$C$72,1,FALSE)),"","S A"),"A"),"AA"),"AAA"),"ML")</f>
        <v/>
      </c>
      <c r="C59" t="str">
        <f t="shared" si="20"/>
        <v>T</v>
      </c>
      <c r="D59" s="27" t="s">
        <v>108</v>
      </c>
      <c r="E59" s="27" t="s">
        <v>426</v>
      </c>
      <c r="F59" s="27" t="s">
        <v>371</v>
      </c>
      <c r="G59" s="27" t="s">
        <v>208</v>
      </c>
      <c r="H59" s="27">
        <v>26</v>
      </c>
      <c r="I59" s="27" t="s">
        <v>104</v>
      </c>
      <c r="J59" s="28" t="s">
        <v>104</v>
      </c>
      <c r="K59" s="27" t="s">
        <v>42</v>
      </c>
      <c r="L59" s="27" t="s">
        <v>42</v>
      </c>
      <c r="M59" s="27" t="s">
        <v>226</v>
      </c>
      <c r="N59" s="28" t="s">
        <v>224</v>
      </c>
      <c r="O59" s="27">
        <v>6</v>
      </c>
      <c r="P59" s="27">
        <v>7</v>
      </c>
      <c r="Q59" s="28">
        <v>3</v>
      </c>
      <c r="R59" s="27">
        <v>6</v>
      </c>
      <c r="S59" s="27">
        <v>7</v>
      </c>
      <c r="T59" s="28">
        <v>4</v>
      </c>
      <c r="U59" s="27">
        <v>8</v>
      </c>
      <c r="V59" s="27">
        <v>8</v>
      </c>
      <c r="W59" s="27">
        <v>3</v>
      </c>
      <c r="X59" s="27">
        <v>3</v>
      </c>
      <c r="Y59" s="27">
        <v>8</v>
      </c>
      <c r="Z59" s="27">
        <v>8</v>
      </c>
      <c r="AA59" s="27" t="s">
        <v>41</v>
      </c>
      <c r="AB59" s="27" t="s">
        <v>41</v>
      </c>
      <c r="AC59" s="27" t="s">
        <v>41</v>
      </c>
      <c r="AD59" s="27" t="s">
        <v>41</v>
      </c>
      <c r="AE59" s="27" t="s">
        <v>41</v>
      </c>
      <c r="AF59" s="27" t="s">
        <v>41</v>
      </c>
      <c r="AG59" s="27" t="s">
        <v>41</v>
      </c>
      <c r="AH59" s="27" t="s">
        <v>41</v>
      </c>
      <c r="AI59" s="27" t="s">
        <v>41</v>
      </c>
      <c r="AJ59" s="27" t="s">
        <v>41</v>
      </c>
      <c r="AK59" s="27" t="s">
        <v>41</v>
      </c>
      <c r="AL59" s="27" t="s">
        <v>41</v>
      </c>
      <c r="AM59" s="27" t="s">
        <v>41</v>
      </c>
      <c r="AN59" s="27" t="s">
        <v>41</v>
      </c>
      <c r="AO59" s="27" t="s">
        <v>41</v>
      </c>
      <c r="AP59" s="27" t="s">
        <v>41</v>
      </c>
      <c r="AQ59" s="27" t="s">
        <v>41</v>
      </c>
      <c r="AR59" s="28" t="s">
        <v>41</v>
      </c>
      <c r="AS59" s="27" t="s">
        <v>5</v>
      </c>
      <c r="AT59" s="27">
        <v>6</v>
      </c>
      <c r="AU59" s="82">
        <v>0.66</v>
      </c>
      <c r="AV59" s="86" t="s">
        <v>41</v>
      </c>
      <c r="AW59" s="28">
        <v>0</v>
      </c>
      <c r="AX59" s="29">
        <f t="shared" si="21"/>
        <v>5.833333333333333</v>
      </c>
      <c r="AY59" s="30" t="str">
        <f t="shared" si="22"/>
        <v>Reg</v>
      </c>
      <c r="AZ59" s="30">
        <f t="shared" si="23"/>
        <v>6.166666666666667</v>
      </c>
      <c r="BA59" s="30" t="str">
        <f t="shared" si="24"/>
        <v>Reg</v>
      </c>
      <c r="BB59" s="30">
        <f t="shared" si="25"/>
        <v>6.166666666666667</v>
      </c>
      <c r="BC59" s="30" t="str">
        <f t="shared" si="26"/>
        <v>Reg</v>
      </c>
      <c r="BD59" s="107">
        <f t="shared" si="27"/>
        <v>3</v>
      </c>
      <c r="BE59" s="108">
        <f t="shared" si="28"/>
        <v>2</v>
      </c>
      <c r="BF59" s="27" t="str">
        <f t="shared" si="29"/>
        <v/>
      </c>
      <c r="BG59" s="27" t="str">
        <f t="shared" si="30"/>
        <v>Possible</v>
      </c>
      <c r="BH59" t="str">
        <f t="shared" si="31"/>
        <v>AAA</v>
      </c>
      <c r="BI59">
        <f t="shared" si="32"/>
        <v>16</v>
      </c>
      <c r="BJ59">
        <f t="shared" si="33"/>
        <v>17</v>
      </c>
      <c r="BK59">
        <f t="shared" si="34"/>
        <v>0</v>
      </c>
      <c r="BL59">
        <f t="shared" si="35"/>
        <v>0</v>
      </c>
      <c r="BM59">
        <f t="shared" si="36"/>
        <v>-1</v>
      </c>
      <c r="BN59">
        <f t="shared" si="37"/>
        <v>-1</v>
      </c>
    </row>
    <row r="60" spans="1:66">
      <c r="A60" s="95" t="str">
        <f>IF(ISERROR(VLOOKUP(E60,CON!$C$53:$C$70,1,FALSE)),IF(ISERROR(VLOOKUP(E60,'PSP-AAA'!$C$51:$C$72,1,FALSE)),IF(ISERROR(VLOOKUP(E60,'NH-AA'!$C$51:$C$72,1,FALSE)),IF(ISERROR(VLOOKUP(E60,'CRG-A'!$C$51:$C$72,1,FALSE)),IF(ISERROR(VLOOKUP(E60,'PC-S A'!$C$51:$C$72,1,FALSE)),"","S A"),"A"),"AA"),"AAA"),"ML")</f>
        <v/>
      </c>
      <c r="C60" t="str">
        <f t="shared" si="20"/>
        <v>K</v>
      </c>
      <c r="D60" s="27" t="s">
        <v>108</v>
      </c>
      <c r="E60" s="27" t="s">
        <v>13</v>
      </c>
      <c r="F60" s="27" t="s">
        <v>371</v>
      </c>
      <c r="G60" s="27" t="s">
        <v>208</v>
      </c>
      <c r="H60" s="27">
        <v>25</v>
      </c>
      <c r="I60" s="27" t="s">
        <v>104</v>
      </c>
      <c r="J60" s="28" t="s">
        <v>104</v>
      </c>
      <c r="K60" s="27" t="s">
        <v>42</v>
      </c>
      <c r="L60" s="27" t="s">
        <v>42</v>
      </c>
      <c r="M60" s="27" t="s">
        <v>224</v>
      </c>
      <c r="N60" s="28" t="s">
        <v>224</v>
      </c>
      <c r="O60" s="27">
        <v>4</v>
      </c>
      <c r="P60" s="27">
        <v>7</v>
      </c>
      <c r="Q60" s="28">
        <v>5</v>
      </c>
      <c r="R60" s="27">
        <v>4</v>
      </c>
      <c r="S60" s="27">
        <v>7</v>
      </c>
      <c r="T60" s="28">
        <v>6</v>
      </c>
      <c r="U60" s="27">
        <v>6</v>
      </c>
      <c r="V60" s="27">
        <v>6</v>
      </c>
      <c r="W60" s="27">
        <v>4</v>
      </c>
      <c r="X60" s="27">
        <v>4</v>
      </c>
      <c r="Y60" s="27">
        <v>4</v>
      </c>
      <c r="Z60" s="27">
        <v>4</v>
      </c>
      <c r="AA60" s="27" t="s">
        <v>41</v>
      </c>
      <c r="AB60" s="27" t="s">
        <v>41</v>
      </c>
      <c r="AC60" s="27" t="s">
        <v>41</v>
      </c>
      <c r="AD60" s="27" t="s">
        <v>41</v>
      </c>
      <c r="AE60" s="27" t="s">
        <v>41</v>
      </c>
      <c r="AF60" s="27" t="s">
        <v>41</v>
      </c>
      <c r="AG60" s="27" t="s">
        <v>41</v>
      </c>
      <c r="AH60" s="27" t="s">
        <v>41</v>
      </c>
      <c r="AI60" s="27" t="s">
        <v>41</v>
      </c>
      <c r="AJ60" s="27" t="s">
        <v>41</v>
      </c>
      <c r="AK60" s="27" t="s">
        <v>41</v>
      </c>
      <c r="AL60" s="27" t="s">
        <v>41</v>
      </c>
      <c r="AM60" s="27" t="s">
        <v>41</v>
      </c>
      <c r="AN60" s="27" t="s">
        <v>41</v>
      </c>
      <c r="AO60" s="27" t="s">
        <v>41</v>
      </c>
      <c r="AP60" s="27" t="s">
        <v>41</v>
      </c>
      <c r="AQ60" s="27" t="s">
        <v>41</v>
      </c>
      <c r="AR60" s="28" t="s">
        <v>41</v>
      </c>
      <c r="AS60" s="27" t="s">
        <v>5</v>
      </c>
      <c r="AT60" s="27">
        <v>3</v>
      </c>
      <c r="AU60" s="82">
        <v>0.59</v>
      </c>
      <c r="AV60" s="86" t="s">
        <v>41</v>
      </c>
      <c r="AW60" s="28">
        <v>0</v>
      </c>
      <c r="AX60" s="29">
        <f t="shared" si="21"/>
        <v>5.833333333333333</v>
      </c>
      <c r="AY60" s="30" t="str">
        <f t="shared" si="22"/>
        <v>Reg</v>
      </c>
      <c r="AZ60" s="30">
        <f t="shared" si="23"/>
        <v>6.166666666666667</v>
      </c>
      <c r="BA60" s="30" t="str">
        <f t="shared" si="24"/>
        <v>Reg</v>
      </c>
      <c r="BB60" s="30">
        <f t="shared" si="25"/>
        <v>6.166666666666667</v>
      </c>
      <c r="BC60" s="30" t="str">
        <f t="shared" si="26"/>
        <v>Reg</v>
      </c>
      <c r="BD60" s="107">
        <f t="shared" si="27"/>
        <v>3</v>
      </c>
      <c r="BE60" s="108">
        <f t="shared" si="28"/>
        <v>1</v>
      </c>
      <c r="BF60" s="27" t="str">
        <f t="shared" si="29"/>
        <v/>
      </c>
      <c r="BG60" s="27" t="str">
        <f t="shared" si="30"/>
        <v>Possible</v>
      </c>
      <c r="BH60" t="str">
        <f t="shared" si="31"/>
        <v>AAA</v>
      </c>
      <c r="BI60">
        <f t="shared" si="32"/>
        <v>16</v>
      </c>
      <c r="BJ60">
        <f t="shared" si="33"/>
        <v>17</v>
      </c>
      <c r="BK60">
        <f t="shared" si="34"/>
        <v>0</v>
      </c>
      <c r="BL60">
        <f t="shared" si="35"/>
        <v>0</v>
      </c>
      <c r="BM60">
        <f t="shared" si="36"/>
        <v>-1</v>
      </c>
      <c r="BN60">
        <f t="shared" si="37"/>
        <v>-1</v>
      </c>
    </row>
    <row r="61" spans="1:66" hidden="1">
      <c r="A61" s="95" t="str">
        <f>IF(ISERROR(VLOOKUP(E61,CON!$C$53:$C$70,1,FALSE)),IF(ISERROR(VLOOKUP(E61,'PSP-AAA'!$C$51:$C$72,1,FALSE)),IF(ISERROR(VLOOKUP(E61,'NH-AA'!$C$51:$C$72,1,FALSE)),IF(ISERROR(VLOOKUP(E61,'CRG-A'!$C$51:$C$72,1,FALSE)),IF(ISERROR(VLOOKUP(E61,'PC-S A'!$C$51:$C$72,1,FALSE)),"","S A"),"A"),"AA"),"AAA"),"ML")</f>
        <v/>
      </c>
      <c r="C61" t="str">
        <f t="shared" si="20"/>
        <v>T</v>
      </c>
      <c r="D61" s="27" t="s">
        <v>107</v>
      </c>
      <c r="E61" s="27" t="s">
        <v>474</v>
      </c>
      <c r="F61" s="27" t="s">
        <v>371</v>
      </c>
      <c r="G61" s="27" t="s">
        <v>208</v>
      </c>
      <c r="H61" s="27">
        <v>33</v>
      </c>
      <c r="I61" s="27" t="s">
        <v>103</v>
      </c>
      <c r="J61" s="28" t="s">
        <v>103</v>
      </c>
      <c r="K61" s="27" t="s">
        <v>42</v>
      </c>
      <c r="L61" s="27" t="s">
        <v>42</v>
      </c>
      <c r="M61" s="27" t="s">
        <v>226</v>
      </c>
      <c r="N61" s="28" t="s">
        <v>225</v>
      </c>
      <c r="O61" s="27">
        <v>4</v>
      </c>
      <c r="P61" s="27">
        <v>6</v>
      </c>
      <c r="Q61" s="28">
        <v>7</v>
      </c>
      <c r="R61" s="27">
        <v>4</v>
      </c>
      <c r="S61" s="27">
        <v>6</v>
      </c>
      <c r="T61" s="28">
        <v>7</v>
      </c>
      <c r="U61" s="27">
        <v>4</v>
      </c>
      <c r="V61" s="27">
        <v>4</v>
      </c>
      <c r="W61" s="27" t="s">
        <v>41</v>
      </c>
      <c r="X61" s="27" t="s">
        <v>41</v>
      </c>
      <c r="Y61" s="27" t="s">
        <v>41</v>
      </c>
      <c r="Z61" s="27" t="s">
        <v>41</v>
      </c>
      <c r="AA61" s="27">
        <v>4</v>
      </c>
      <c r="AB61" s="27">
        <v>4</v>
      </c>
      <c r="AC61" s="27" t="s">
        <v>41</v>
      </c>
      <c r="AD61" s="27" t="s">
        <v>41</v>
      </c>
      <c r="AE61" s="27" t="s">
        <v>41</v>
      </c>
      <c r="AF61" s="27" t="s">
        <v>41</v>
      </c>
      <c r="AG61" s="27">
        <v>4</v>
      </c>
      <c r="AH61" s="27">
        <v>4</v>
      </c>
      <c r="AI61" s="27" t="s">
        <v>41</v>
      </c>
      <c r="AJ61" s="27" t="s">
        <v>41</v>
      </c>
      <c r="AK61" s="27" t="s">
        <v>41</v>
      </c>
      <c r="AL61" s="27" t="s">
        <v>41</v>
      </c>
      <c r="AM61" s="27" t="s">
        <v>41</v>
      </c>
      <c r="AN61" s="27" t="s">
        <v>41</v>
      </c>
      <c r="AO61" s="27" t="s">
        <v>41</v>
      </c>
      <c r="AP61" s="27" t="s">
        <v>41</v>
      </c>
      <c r="AQ61" s="27" t="s">
        <v>41</v>
      </c>
      <c r="AR61" s="28" t="s">
        <v>41</v>
      </c>
      <c r="AS61" s="27" t="s">
        <v>0</v>
      </c>
      <c r="AT61" s="27">
        <v>1</v>
      </c>
      <c r="AU61" s="82">
        <v>0.39</v>
      </c>
      <c r="AV61" s="86" t="s">
        <v>41</v>
      </c>
      <c r="AW61" s="28">
        <v>1</v>
      </c>
      <c r="AX61" s="29">
        <f t="shared" si="21"/>
        <v>5.666666666666667</v>
      </c>
      <c r="AY61" s="30" t="str">
        <f t="shared" si="22"/>
        <v>Reg</v>
      </c>
      <c r="AZ61" s="30">
        <f t="shared" si="23"/>
        <v>5.666666666666667</v>
      </c>
      <c r="BA61" s="30" t="str">
        <f t="shared" si="24"/>
        <v>Reg</v>
      </c>
      <c r="BB61" s="30">
        <f t="shared" si="25"/>
        <v>5.666666666666667</v>
      </c>
      <c r="BC61" s="30" t="str">
        <f t="shared" si="26"/>
        <v>Reg</v>
      </c>
      <c r="BD61" s="107">
        <f t="shared" si="27"/>
        <v>3</v>
      </c>
      <c r="BE61" s="108">
        <f t="shared" si="28"/>
        <v>0</v>
      </c>
      <c r="BF61" s="27" t="str">
        <f t="shared" si="29"/>
        <v>Yes</v>
      </c>
      <c r="BG61" s="27" t="str">
        <f t="shared" si="30"/>
        <v>Possible</v>
      </c>
      <c r="BH61" t="str">
        <f t="shared" si="31"/>
        <v>ML</v>
      </c>
      <c r="BI61">
        <f t="shared" si="32"/>
        <v>17</v>
      </c>
      <c r="BJ61">
        <f t="shared" si="33"/>
        <v>17</v>
      </c>
      <c r="BK61">
        <f t="shared" si="34"/>
        <v>0</v>
      </c>
      <c r="BL61">
        <f t="shared" si="35"/>
        <v>0</v>
      </c>
      <c r="BM61">
        <f t="shared" si="36"/>
        <v>0</v>
      </c>
      <c r="BN61">
        <f t="shared" si="37"/>
        <v>0</v>
      </c>
    </row>
    <row r="62" spans="1:66" hidden="1">
      <c r="A62" s="95" t="str">
        <f>IF(ISERROR(VLOOKUP(E62,CON!$C$53:$C$70,1,FALSE)),IF(ISERROR(VLOOKUP(E62,'PSP-AAA'!$C$51:$C$72,1,FALSE)),IF(ISERROR(VLOOKUP(E62,'NH-AA'!$C$51:$C$72,1,FALSE)),IF(ISERROR(VLOOKUP(E62,'CRG-A'!$C$51:$C$72,1,FALSE)),IF(ISERROR(VLOOKUP(E62,'PC-S A'!$C$51:$C$72,1,FALSE)),"","S A"),"A"),"AA"),"AAA"),"ML")</f>
        <v/>
      </c>
      <c r="C62" t="str">
        <f t="shared" si="20"/>
        <v>K</v>
      </c>
      <c r="D62" s="27" t="s">
        <v>107</v>
      </c>
      <c r="E62" s="27" t="s">
        <v>12</v>
      </c>
      <c r="F62" s="27" t="s">
        <v>25</v>
      </c>
      <c r="G62" s="27" t="s">
        <v>207</v>
      </c>
      <c r="H62" s="27">
        <v>27</v>
      </c>
      <c r="I62" s="27" t="s">
        <v>104</v>
      </c>
      <c r="J62" s="28" t="s">
        <v>104</v>
      </c>
      <c r="K62" s="27" t="s">
        <v>42</v>
      </c>
      <c r="L62" s="27" t="s">
        <v>42</v>
      </c>
      <c r="M62" s="27" t="s">
        <v>225</v>
      </c>
      <c r="N62" s="28" t="s">
        <v>223</v>
      </c>
      <c r="O62" s="27">
        <v>5</v>
      </c>
      <c r="P62" s="27">
        <v>7</v>
      </c>
      <c r="Q62" s="28">
        <v>3</v>
      </c>
      <c r="R62" s="27">
        <v>5</v>
      </c>
      <c r="S62" s="27">
        <v>7</v>
      </c>
      <c r="T62" s="28">
        <v>4</v>
      </c>
      <c r="U62" s="27">
        <v>5</v>
      </c>
      <c r="V62" s="27">
        <v>5</v>
      </c>
      <c r="W62" s="27">
        <v>4</v>
      </c>
      <c r="X62" s="27">
        <v>4</v>
      </c>
      <c r="Y62" s="27" t="s">
        <v>41</v>
      </c>
      <c r="Z62" s="27" t="s">
        <v>41</v>
      </c>
      <c r="AA62" s="27">
        <v>3</v>
      </c>
      <c r="AB62" s="27">
        <v>3</v>
      </c>
      <c r="AC62" s="27">
        <v>5</v>
      </c>
      <c r="AD62" s="27">
        <v>6</v>
      </c>
      <c r="AE62" s="27" t="s">
        <v>41</v>
      </c>
      <c r="AF62" s="27" t="s">
        <v>41</v>
      </c>
      <c r="AG62" s="27" t="s">
        <v>41</v>
      </c>
      <c r="AH62" s="27" t="s">
        <v>41</v>
      </c>
      <c r="AI62" s="27" t="s">
        <v>41</v>
      </c>
      <c r="AJ62" s="27" t="s">
        <v>41</v>
      </c>
      <c r="AK62" s="27" t="s">
        <v>41</v>
      </c>
      <c r="AL62" s="27" t="s">
        <v>41</v>
      </c>
      <c r="AM62" s="27" t="s">
        <v>41</v>
      </c>
      <c r="AN62" s="27" t="s">
        <v>41</v>
      </c>
      <c r="AO62" s="27" t="s">
        <v>41</v>
      </c>
      <c r="AP62" s="27" t="s">
        <v>41</v>
      </c>
      <c r="AQ62" s="27" t="s">
        <v>41</v>
      </c>
      <c r="AR62" s="28" t="s">
        <v>41</v>
      </c>
      <c r="AS62" s="27" t="s">
        <v>2</v>
      </c>
      <c r="AT62" s="27">
        <v>2</v>
      </c>
      <c r="AU62" s="82">
        <v>0.61</v>
      </c>
      <c r="AV62" s="86">
        <v>500000</v>
      </c>
      <c r="AW62" s="28" t="s">
        <v>45</v>
      </c>
      <c r="AX62" s="29">
        <f t="shared" si="21"/>
        <v>5.5</v>
      </c>
      <c r="AY62" s="30" t="str">
        <f t="shared" si="22"/>
        <v>Reg</v>
      </c>
      <c r="AZ62" s="30">
        <f t="shared" si="23"/>
        <v>6.083333333333333</v>
      </c>
      <c r="BA62" s="30" t="str">
        <f t="shared" si="24"/>
        <v>Reg</v>
      </c>
      <c r="BB62" s="30">
        <f t="shared" si="25"/>
        <v>6.083333333333333</v>
      </c>
      <c r="BC62" s="30" t="str">
        <f t="shared" si="26"/>
        <v>Reg</v>
      </c>
      <c r="BD62" s="107">
        <f t="shared" si="27"/>
        <v>4</v>
      </c>
      <c r="BE62" s="108">
        <f t="shared" si="28"/>
        <v>0.5</v>
      </c>
      <c r="BF62" s="27" t="str">
        <f t="shared" si="29"/>
        <v/>
      </c>
      <c r="BG62" s="27" t="str">
        <f t="shared" si="30"/>
        <v>Possible</v>
      </c>
      <c r="BH62" t="str">
        <f t="shared" si="31"/>
        <v>AAA</v>
      </c>
      <c r="BI62">
        <f t="shared" si="32"/>
        <v>15</v>
      </c>
      <c r="BJ62">
        <f t="shared" si="33"/>
        <v>16</v>
      </c>
      <c r="BK62">
        <f t="shared" si="34"/>
        <v>0</v>
      </c>
      <c r="BL62">
        <f t="shared" si="35"/>
        <v>0</v>
      </c>
      <c r="BM62">
        <f t="shared" si="36"/>
        <v>-1</v>
      </c>
      <c r="BN62">
        <f t="shared" si="37"/>
        <v>-1</v>
      </c>
    </row>
    <row r="63" spans="1:66" hidden="1">
      <c r="A63" s="95" t="str">
        <f>IF(ISERROR(VLOOKUP(E63,CON!$C$53:$C$70,1,FALSE)),IF(ISERROR(VLOOKUP(E63,'PSP-AAA'!$C$51:$C$72,1,FALSE)),IF(ISERROR(VLOOKUP(E63,'NH-AA'!$C$51:$C$72,1,FALSE)),IF(ISERROR(VLOOKUP(E63,'CRG-A'!$C$51:$C$72,1,FALSE)),IF(ISERROR(VLOOKUP(E63,'PC-S A'!$C$51:$C$72,1,FALSE)),"","S A"),"A"),"AA"),"AAA"),"ML")</f>
        <v/>
      </c>
      <c r="C63" t="str">
        <f t="shared" si="20"/>
        <v>T</v>
      </c>
      <c r="D63" s="27" t="s">
        <v>107</v>
      </c>
      <c r="E63" s="27" t="s">
        <v>397</v>
      </c>
      <c r="F63" s="27" t="s">
        <v>370</v>
      </c>
      <c r="G63" s="27" t="s">
        <v>316</v>
      </c>
      <c r="H63" s="27">
        <v>20</v>
      </c>
      <c r="I63" s="27" t="s">
        <v>103</v>
      </c>
      <c r="J63" s="28" t="s">
        <v>103</v>
      </c>
      <c r="K63" s="27" t="s">
        <v>47</v>
      </c>
      <c r="L63" s="27" t="s">
        <v>42</v>
      </c>
      <c r="M63" s="27" t="s">
        <v>225</v>
      </c>
      <c r="N63" s="28" t="s">
        <v>225</v>
      </c>
      <c r="O63" s="27">
        <v>6</v>
      </c>
      <c r="P63" s="27">
        <v>4</v>
      </c>
      <c r="Q63" s="28">
        <v>4</v>
      </c>
      <c r="R63" s="27">
        <v>6</v>
      </c>
      <c r="S63" s="27">
        <v>4</v>
      </c>
      <c r="T63" s="28">
        <v>6</v>
      </c>
      <c r="U63" s="27">
        <v>6</v>
      </c>
      <c r="V63" s="27">
        <v>6</v>
      </c>
      <c r="W63" s="27">
        <v>5</v>
      </c>
      <c r="X63" s="27">
        <v>5</v>
      </c>
      <c r="Y63" s="27">
        <v>4</v>
      </c>
      <c r="Z63" s="27">
        <v>4</v>
      </c>
      <c r="AA63" s="27" t="s">
        <v>41</v>
      </c>
      <c r="AB63" s="27" t="s">
        <v>41</v>
      </c>
      <c r="AC63" s="27" t="s">
        <v>41</v>
      </c>
      <c r="AD63" s="27" t="s">
        <v>41</v>
      </c>
      <c r="AE63" s="27">
        <v>5</v>
      </c>
      <c r="AF63" s="27">
        <v>5</v>
      </c>
      <c r="AG63" s="27" t="s">
        <v>41</v>
      </c>
      <c r="AH63" s="27" t="s">
        <v>41</v>
      </c>
      <c r="AI63" s="27">
        <v>5</v>
      </c>
      <c r="AJ63" s="27">
        <v>5</v>
      </c>
      <c r="AK63" s="27" t="s">
        <v>41</v>
      </c>
      <c r="AL63" s="27" t="s">
        <v>41</v>
      </c>
      <c r="AM63" s="27" t="s">
        <v>41</v>
      </c>
      <c r="AN63" s="27" t="s">
        <v>41</v>
      </c>
      <c r="AO63" s="27" t="s">
        <v>41</v>
      </c>
      <c r="AP63" s="27" t="s">
        <v>41</v>
      </c>
      <c r="AQ63" s="27" t="s">
        <v>41</v>
      </c>
      <c r="AR63" s="28" t="s">
        <v>41</v>
      </c>
      <c r="AS63" s="27" t="s">
        <v>15</v>
      </c>
      <c r="AT63" s="27">
        <v>7</v>
      </c>
      <c r="AU63" s="82">
        <v>0.34</v>
      </c>
      <c r="AV63" s="86" t="s">
        <v>41</v>
      </c>
      <c r="AW63" s="28">
        <v>0</v>
      </c>
      <c r="AX63" s="29">
        <f t="shared" si="21"/>
        <v>5.416666666666667</v>
      </c>
      <c r="AY63" s="30" t="str">
        <f t="shared" si="22"/>
        <v>Reg</v>
      </c>
      <c r="AZ63" s="30">
        <f t="shared" si="23"/>
        <v>6.083333333333333</v>
      </c>
      <c r="BA63" s="30" t="str">
        <f t="shared" si="24"/>
        <v>Reg</v>
      </c>
      <c r="BB63" s="30">
        <f t="shared" si="25"/>
        <v>6.083333333333333</v>
      </c>
      <c r="BC63" s="30" t="str">
        <f t="shared" si="26"/>
        <v>Reg</v>
      </c>
      <c r="BD63" s="107">
        <f t="shared" si="27"/>
        <v>5</v>
      </c>
      <c r="BE63" s="108">
        <f t="shared" si="28"/>
        <v>1</v>
      </c>
      <c r="BF63" s="27" t="str">
        <f t="shared" si="29"/>
        <v/>
      </c>
      <c r="BG63" s="27" t="str">
        <f t="shared" si="30"/>
        <v>Possible</v>
      </c>
      <c r="BH63" t="str">
        <f t="shared" si="31"/>
        <v>AAA</v>
      </c>
      <c r="BI63">
        <f t="shared" si="32"/>
        <v>14</v>
      </c>
      <c r="BJ63">
        <f t="shared" si="33"/>
        <v>16</v>
      </c>
      <c r="BK63">
        <f t="shared" si="34"/>
        <v>0</v>
      </c>
      <c r="BL63">
        <f t="shared" si="35"/>
        <v>0</v>
      </c>
      <c r="BM63">
        <f t="shared" si="36"/>
        <v>-2</v>
      </c>
      <c r="BN63">
        <f t="shared" si="37"/>
        <v>-2</v>
      </c>
    </row>
    <row r="64" spans="1:66">
      <c r="A64" s="95" t="str">
        <f>IF(ISERROR(VLOOKUP(E64,CON!$C$53:$C$70,1,FALSE)),IF(ISERROR(VLOOKUP(E64,'PSP-AAA'!$C$51:$C$72,1,FALSE)),IF(ISERROR(VLOOKUP(E64,'NH-AA'!$C$51:$C$72,1,FALSE)),IF(ISERROR(VLOOKUP(E64,'CRG-A'!$C$51:$C$72,1,FALSE)),IF(ISERROR(VLOOKUP(E64,'PC-S A'!$C$51:$C$72,1,FALSE)),"","S A"),"A"),"AA"),"AAA"),"ML")</f>
        <v/>
      </c>
      <c r="C64" t="str">
        <f t="shared" si="20"/>
        <v>T</v>
      </c>
      <c r="D64" s="27" t="s">
        <v>107</v>
      </c>
      <c r="E64" s="27" t="s">
        <v>10</v>
      </c>
      <c r="F64" s="27" t="s">
        <v>371</v>
      </c>
      <c r="G64" s="27" t="s">
        <v>208</v>
      </c>
      <c r="H64" s="27">
        <v>24</v>
      </c>
      <c r="I64" s="27" t="s">
        <v>103</v>
      </c>
      <c r="J64" s="28" t="s">
        <v>103</v>
      </c>
      <c r="K64" s="27" t="s">
        <v>47</v>
      </c>
      <c r="L64" s="27" t="s">
        <v>42</v>
      </c>
      <c r="M64" s="27" t="s">
        <v>227</v>
      </c>
      <c r="N64" s="28" t="s">
        <v>224</v>
      </c>
      <c r="O64" s="27">
        <v>5</v>
      </c>
      <c r="P64" s="27">
        <v>6</v>
      </c>
      <c r="Q64" s="28">
        <v>4</v>
      </c>
      <c r="R64" s="27">
        <v>5</v>
      </c>
      <c r="S64" s="27">
        <v>6</v>
      </c>
      <c r="T64" s="28">
        <v>6</v>
      </c>
      <c r="U64" s="27">
        <v>6</v>
      </c>
      <c r="V64" s="27">
        <v>6</v>
      </c>
      <c r="W64" s="27">
        <v>5</v>
      </c>
      <c r="X64" s="27">
        <v>5</v>
      </c>
      <c r="Y64" s="27" t="s">
        <v>41</v>
      </c>
      <c r="Z64" s="27" t="s">
        <v>41</v>
      </c>
      <c r="AA64" s="27" t="s">
        <v>41</v>
      </c>
      <c r="AB64" s="27" t="s">
        <v>41</v>
      </c>
      <c r="AC64" s="27" t="s">
        <v>41</v>
      </c>
      <c r="AD64" s="27" t="s">
        <v>41</v>
      </c>
      <c r="AE64" s="27" t="s">
        <v>41</v>
      </c>
      <c r="AF64" s="27" t="s">
        <v>41</v>
      </c>
      <c r="AG64" s="27" t="s">
        <v>41</v>
      </c>
      <c r="AH64" s="27" t="s">
        <v>41</v>
      </c>
      <c r="AI64" s="27" t="s">
        <v>41</v>
      </c>
      <c r="AJ64" s="27" t="s">
        <v>41</v>
      </c>
      <c r="AK64" s="27" t="s">
        <v>41</v>
      </c>
      <c r="AL64" s="27" t="s">
        <v>41</v>
      </c>
      <c r="AM64" s="27" t="s">
        <v>41</v>
      </c>
      <c r="AN64" s="27" t="s">
        <v>41</v>
      </c>
      <c r="AO64" s="27" t="s">
        <v>41</v>
      </c>
      <c r="AP64" s="27" t="s">
        <v>41</v>
      </c>
      <c r="AQ64" s="27" t="s">
        <v>41</v>
      </c>
      <c r="AR64" s="28" t="s">
        <v>41</v>
      </c>
      <c r="AS64" s="27" t="s">
        <v>11</v>
      </c>
      <c r="AT64" s="27">
        <v>3</v>
      </c>
      <c r="AU64" s="82">
        <v>0.51</v>
      </c>
      <c r="AV64" s="86" t="s">
        <v>41</v>
      </c>
      <c r="AW64" s="28">
        <v>0</v>
      </c>
      <c r="AX64" s="29">
        <f t="shared" si="21"/>
        <v>5.25</v>
      </c>
      <c r="AY64" s="30" t="str">
        <f t="shared" si="22"/>
        <v>Reg</v>
      </c>
      <c r="AZ64" s="30">
        <f t="shared" si="23"/>
        <v>5.916666666666667</v>
      </c>
      <c r="BA64" s="30" t="str">
        <f t="shared" si="24"/>
        <v>Reg</v>
      </c>
      <c r="BB64" s="30">
        <f t="shared" si="25"/>
        <v>5.916666666666667</v>
      </c>
      <c r="BC64" s="30" t="str">
        <f t="shared" si="26"/>
        <v>Reg</v>
      </c>
      <c r="BD64" s="107">
        <f t="shared" si="27"/>
        <v>2</v>
      </c>
      <c r="BE64" s="108">
        <f t="shared" si="28"/>
        <v>1</v>
      </c>
      <c r="BF64" s="27" t="str">
        <f t="shared" si="29"/>
        <v/>
      </c>
      <c r="BG64" s="27" t="str">
        <f t="shared" si="30"/>
        <v>Possible</v>
      </c>
      <c r="BH64" t="str">
        <f t="shared" si="31"/>
        <v>AAA</v>
      </c>
      <c r="BI64">
        <f t="shared" si="32"/>
        <v>15</v>
      </c>
      <c r="BJ64">
        <f t="shared" si="33"/>
        <v>17</v>
      </c>
      <c r="BK64">
        <f t="shared" si="34"/>
        <v>0</v>
      </c>
      <c r="BL64">
        <f t="shared" si="35"/>
        <v>0</v>
      </c>
      <c r="BM64">
        <f t="shared" si="36"/>
        <v>-2</v>
      </c>
      <c r="BN64">
        <f t="shared" si="37"/>
        <v>-2</v>
      </c>
    </row>
    <row r="65" spans="1:66">
      <c r="A65" s="95" t="str">
        <f>IF(ISERROR(VLOOKUP(E65,CON!$C$53:$C$70,1,FALSE)),IF(ISERROR(VLOOKUP(E65,'PSP-AAA'!$C$51:$C$72,1,FALSE)),IF(ISERROR(VLOOKUP(E65,'NH-AA'!$C$51:$C$72,1,FALSE)),IF(ISERROR(VLOOKUP(E65,'CRG-A'!$C$51:$C$72,1,FALSE)),IF(ISERROR(VLOOKUP(E65,'PC-S A'!$C$51:$C$72,1,FALSE)),"","S A"),"A"),"AA"),"AAA"),"ML")</f>
        <v/>
      </c>
      <c r="C65" t="str">
        <f t="shared" si="20"/>
        <v>T</v>
      </c>
      <c r="D65" s="27" t="s">
        <v>108</v>
      </c>
      <c r="E65" s="27" t="s">
        <v>477</v>
      </c>
      <c r="F65" s="27" t="s">
        <v>373</v>
      </c>
      <c r="G65" s="27" t="s">
        <v>210</v>
      </c>
      <c r="H65" s="27">
        <v>23</v>
      </c>
      <c r="I65" s="27" t="s">
        <v>104</v>
      </c>
      <c r="J65" s="28" t="s">
        <v>104</v>
      </c>
      <c r="K65" s="27" t="s">
        <v>47</v>
      </c>
      <c r="L65" s="27" t="s">
        <v>42</v>
      </c>
      <c r="M65" s="27" t="s">
        <v>225</v>
      </c>
      <c r="N65" s="28" t="s">
        <v>225</v>
      </c>
      <c r="O65" s="27">
        <v>6</v>
      </c>
      <c r="P65" s="27">
        <v>4</v>
      </c>
      <c r="Q65" s="28">
        <v>2</v>
      </c>
      <c r="R65" s="27">
        <v>6</v>
      </c>
      <c r="S65" s="27">
        <v>4</v>
      </c>
      <c r="T65" s="28">
        <v>3</v>
      </c>
      <c r="U65" s="27">
        <v>6</v>
      </c>
      <c r="V65" s="27">
        <v>6</v>
      </c>
      <c r="W65" s="27" t="s">
        <v>41</v>
      </c>
      <c r="X65" s="27" t="s">
        <v>41</v>
      </c>
      <c r="Y65" s="27">
        <v>6</v>
      </c>
      <c r="Z65" s="27">
        <v>6</v>
      </c>
      <c r="AA65" s="27">
        <v>5</v>
      </c>
      <c r="AB65" s="27">
        <v>5</v>
      </c>
      <c r="AC65" s="27" t="s">
        <v>41</v>
      </c>
      <c r="AD65" s="27" t="s">
        <v>41</v>
      </c>
      <c r="AE65" s="27">
        <v>6</v>
      </c>
      <c r="AF65" s="27">
        <v>6</v>
      </c>
      <c r="AG65" s="27" t="s">
        <v>41</v>
      </c>
      <c r="AH65" s="27" t="s">
        <v>41</v>
      </c>
      <c r="AI65" s="27">
        <v>5</v>
      </c>
      <c r="AJ65" s="27">
        <v>6</v>
      </c>
      <c r="AK65" s="27">
        <v>5</v>
      </c>
      <c r="AL65" s="27">
        <v>5</v>
      </c>
      <c r="AM65" s="27" t="s">
        <v>41</v>
      </c>
      <c r="AN65" s="27" t="s">
        <v>41</v>
      </c>
      <c r="AO65" s="27" t="s">
        <v>41</v>
      </c>
      <c r="AP65" s="27" t="s">
        <v>41</v>
      </c>
      <c r="AQ65" s="27" t="s">
        <v>41</v>
      </c>
      <c r="AR65" s="28" t="s">
        <v>41</v>
      </c>
      <c r="AS65" s="27" t="s">
        <v>15</v>
      </c>
      <c r="AT65" s="27">
        <v>2</v>
      </c>
      <c r="AU65" s="82">
        <v>0.54</v>
      </c>
      <c r="AV65" s="86" t="s">
        <v>41</v>
      </c>
      <c r="AW65" s="28">
        <v>0</v>
      </c>
      <c r="AX65" s="29">
        <f t="shared" si="21"/>
        <v>5</v>
      </c>
      <c r="AY65" s="30" t="str">
        <f t="shared" si="22"/>
        <v>Bench</v>
      </c>
      <c r="AZ65" s="30">
        <f t="shared" si="23"/>
        <v>5.333333333333333</v>
      </c>
      <c r="BA65" s="30" t="str">
        <f t="shared" si="24"/>
        <v>Reg</v>
      </c>
      <c r="BB65" s="30">
        <f t="shared" si="25"/>
        <v>5.333333333333333</v>
      </c>
      <c r="BC65" s="30" t="str">
        <f t="shared" si="26"/>
        <v>Reg</v>
      </c>
      <c r="BD65" s="107">
        <f t="shared" si="27"/>
        <v>6</v>
      </c>
      <c r="BE65" s="108">
        <f t="shared" si="28"/>
        <v>3.5</v>
      </c>
      <c r="BF65" s="27" t="str">
        <f t="shared" si="29"/>
        <v/>
      </c>
      <c r="BG65" s="27" t="str">
        <f t="shared" si="30"/>
        <v>Possible</v>
      </c>
      <c r="BH65" t="str">
        <f t="shared" si="31"/>
        <v>AA</v>
      </c>
      <c r="BI65">
        <f t="shared" si="32"/>
        <v>12</v>
      </c>
      <c r="BJ65">
        <f t="shared" si="33"/>
        <v>13</v>
      </c>
      <c r="BK65">
        <f t="shared" si="34"/>
        <v>0</v>
      </c>
      <c r="BL65">
        <f t="shared" si="35"/>
        <v>0</v>
      </c>
      <c r="BM65">
        <f t="shared" si="36"/>
        <v>-1</v>
      </c>
      <c r="BN65">
        <f t="shared" si="37"/>
        <v>-1</v>
      </c>
    </row>
    <row r="66" spans="1:66">
      <c r="A66" s="95" t="str">
        <f>IF(ISERROR(VLOOKUP(E66,CON!$C$53:$C$70,1,FALSE)),IF(ISERROR(VLOOKUP(E66,'PSP-AAA'!$C$51:$C$72,1,FALSE)),IF(ISERROR(VLOOKUP(E66,'NH-AA'!$C$51:$C$72,1,FALSE)),IF(ISERROR(VLOOKUP(E66,'CRG-A'!$C$51:$C$72,1,FALSE)),IF(ISERROR(VLOOKUP(E66,'PC-S A'!$C$51:$C$72,1,FALSE)),"","S A"),"A"),"AA"),"AAA"),"ML")</f>
        <v/>
      </c>
      <c r="C66" t="str">
        <f t="shared" si="20"/>
        <v>K</v>
      </c>
      <c r="D66" s="27" t="s">
        <v>107</v>
      </c>
      <c r="E66" s="27" t="s">
        <v>433</v>
      </c>
      <c r="F66" s="27" t="s">
        <v>373</v>
      </c>
      <c r="G66" s="27" t="s">
        <v>210</v>
      </c>
      <c r="H66" s="27">
        <v>23</v>
      </c>
      <c r="I66" s="27" t="s">
        <v>104</v>
      </c>
      <c r="J66" s="28" t="s">
        <v>104</v>
      </c>
      <c r="K66" s="27" t="s">
        <v>47</v>
      </c>
      <c r="L66" s="27" t="s">
        <v>47</v>
      </c>
      <c r="M66" s="27" t="s">
        <v>223</v>
      </c>
      <c r="N66" s="28" t="s">
        <v>227</v>
      </c>
      <c r="O66" s="27">
        <v>8</v>
      </c>
      <c r="P66" s="27">
        <v>3</v>
      </c>
      <c r="Q66" s="28">
        <v>3</v>
      </c>
      <c r="R66" s="27">
        <v>8</v>
      </c>
      <c r="S66" s="27">
        <v>3</v>
      </c>
      <c r="T66" s="28">
        <v>3</v>
      </c>
      <c r="U66" s="27">
        <v>8</v>
      </c>
      <c r="V66" s="27">
        <v>8</v>
      </c>
      <c r="W66" s="27" t="s">
        <v>41</v>
      </c>
      <c r="X66" s="27" t="s">
        <v>41</v>
      </c>
      <c r="Y66" s="27">
        <v>7</v>
      </c>
      <c r="Z66" s="27">
        <v>7</v>
      </c>
      <c r="AA66" s="27" t="s">
        <v>41</v>
      </c>
      <c r="AB66" s="27" t="s">
        <v>41</v>
      </c>
      <c r="AC66" s="27" t="s">
        <v>41</v>
      </c>
      <c r="AD66" s="27" t="s">
        <v>41</v>
      </c>
      <c r="AE66" s="27" t="s">
        <v>41</v>
      </c>
      <c r="AF66" s="27" t="s">
        <v>41</v>
      </c>
      <c r="AG66" s="27" t="s">
        <v>41</v>
      </c>
      <c r="AH66" s="27" t="s">
        <v>41</v>
      </c>
      <c r="AI66" s="27" t="s">
        <v>41</v>
      </c>
      <c r="AJ66" s="27" t="s">
        <v>41</v>
      </c>
      <c r="AK66" s="27" t="s">
        <v>41</v>
      </c>
      <c r="AL66" s="27" t="s">
        <v>41</v>
      </c>
      <c r="AM66" s="27" t="s">
        <v>41</v>
      </c>
      <c r="AN66" s="27" t="s">
        <v>41</v>
      </c>
      <c r="AO66" s="27" t="s">
        <v>41</v>
      </c>
      <c r="AP66" s="27" t="s">
        <v>41</v>
      </c>
      <c r="AQ66" s="27" t="s">
        <v>41</v>
      </c>
      <c r="AR66" s="28" t="s">
        <v>41</v>
      </c>
      <c r="AS66" s="27" t="s">
        <v>402</v>
      </c>
      <c r="AT66" s="27">
        <v>7</v>
      </c>
      <c r="AU66" s="82">
        <v>0.35</v>
      </c>
      <c r="AV66" s="86" t="s">
        <v>41</v>
      </c>
      <c r="AW66" s="28">
        <v>0</v>
      </c>
      <c r="AX66" s="29">
        <f t="shared" si="21"/>
        <v>4.916666666666667</v>
      </c>
      <c r="AY66" s="30" t="str">
        <f t="shared" si="22"/>
        <v>Bench</v>
      </c>
      <c r="AZ66" s="30">
        <f t="shared" si="23"/>
        <v>4.916666666666667</v>
      </c>
      <c r="BA66" s="30" t="str">
        <f t="shared" si="24"/>
        <v>Bench</v>
      </c>
      <c r="BB66" s="30">
        <f t="shared" si="25"/>
        <v>4.916666666666667</v>
      </c>
      <c r="BC66" s="30" t="str">
        <f t="shared" si="26"/>
        <v>Bench</v>
      </c>
      <c r="BD66" s="107">
        <f t="shared" si="27"/>
        <v>2</v>
      </c>
      <c r="BE66" s="108">
        <f t="shared" si="28"/>
        <v>2</v>
      </c>
      <c r="BF66" s="27" t="str">
        <f t="shared" si="29"/>
        <v/>
      </c>
      <c r="BG66" s="27" t="str">
        <f t="shared" si="30"/>
        <v>Possible</v>
      </c>
      <c r="BH66" t="str">
        <f t="shared" si="31"/>
        <v>AAA</v>
      </c>
      <c r="BI66">
        <f t="shared" si="32"/>
        <v>14</v>
      </c>
      <c r="BJ66">
        <f t="shared" si="33"/>
        <v>14</v>
      </c>
      <c r="BK66">
        <f t="shared" si="34"/>
        <v>0</v>
      </c>
      <c r="BL66">
        <f t="shared" si="35"/>
        <v>0</v>
      </c>
      <c r="BM66">
        <f t="shared" si="36"/>
        <v>0</v>
      </c>
      <c r="BN66">
        <f t="shared" si="37"/>
        <v>0</v>
      </c>
    </row>
    <row r="67" spans="1:66">
      <c r="A67" s="95" t="str">
        <f>IF(ISERROR(VLOOKUP(E67,CON!$C$53:$C$70,1,FALSE)),IF(ISERROR(VLOOKUP(E67,'PSP-AAA'!$C$51:$C$72,1,FALSE)),IF(ISERROR(VLOOKUP(E67,'NH-AA'!$C$51:$C$72,1,FALSE)),IF(ISERROR(VLOOKUP(E67,'CRG-A'!$C$51:$C$72,1,FALSE)),IF(ISERROR(VLOOKUP(E67,'PC-S A'!$C$51:$C$72,1,FALSE)),"","S A"),"A"),"AA"),"AAA"),"ML")</f>
        <v/>
      </c>
      <c r="C67" t="str">
        <f t="shared" si="20"/>
        <v>T</v>
      </c>
      <c r="D67" s="27" t="s">
        <v>107</v>
      </c>
      <c r="E67" s="27" t="s">
        <v>403</v>
      </c>
      <c r="F67" s="27" t="s">
        <v>372</v>
      </c>
      <c r="G67" s="27" t="s">
        <v>209</v>
      </c>
      <c r="H67" s="27">
        <v>25</v>
      </c>
      <c r="I67" s="27" t="s">
        <v>104</v>
      </c>
      <c r="J67" s="28" t="s">
        <v>104</v>
      </c>
      <c r="K67" s="27" t="s">
        <v>47</v>
      </c>
      <c r="L67" s="27" t="s">
        <v>42</v>
      </c>
      <c r="M67" s="27" t="s">
        <v>226</v>
      </c>
      <c r="N67" s="28" t="s">
        <v>223</v>
      </c>
      <c r="O67" s="27">
        <v>6</v>
      </c>
      <c r="P67" s="27">
        <v>4</v>
      </c>
      <c r="Q67" s="28">
        <v>4</v>
      </c>
      <c r="R67" s="27">
        <v>6</v>
      </c>
      <c r="S67" s="27">
        <v>4</v>
      </c>
      <c r="T67" s="28">
        <v>4</v>
      </c>
      <c r="U67" s="27">
        <v>7</v>
      </c>
      <c r="V67" s="27">
        <v>7</v>
      </c>
      <c r="W67" s="27" t="s">
        <v>41</v>
      </c>
      <c r="X67" s="27" t="s">
        <v>41</v>
      </c>
      <c r="Y67" s="27">
        <v>3</v>
      </c>
      <c r="Z67" s="27">
        <v>3</v>
      </c>
      <c r="AA67" s="27" t="s">
        <v>41</v>
      </c>
      <c r="AB67" s="27" t="s">
        <v>41</v>
      </c>
      <c r="AC67" s="27" t="s">
        <v>41</v>
      </c>
      <c r="AD67" s="27" t="s">
        <v>41</v>
      </c>
      <c r="AE67" s="27" t="s">
        <v>41</v>
      </c>
      <c r="AF67" s="27" t="s">
        <v>41</v>
      </c>
      <c r="AG67" s="27" t="s">
        <v>41</v>
      </c>
      <c r="AH67" s="27" t="s">
        <v>41</v>
      </c>
      <c r="AI67" s="27" t="s">
        <v>41</v>
      </c>
      <c r="AJ67" s="27" t="s">
        <v>41</v>
      </c>
      <c r="AK67" s="27">
        <v>6</v>
      </c>
      <c r="AL67" s="27">
        <v>7</v>
      </c>
      <c r="AM67" s="27" t="s">
        <v>41</v>
      </c>
      <c r="AN67" s="27" t="s">
        <v>41</v>
      </c>
      <c r="AO67" s="27" t="s">
        <v>41</v>
      </c>
      <c r="AP67" s="27" t="s">
        <v>41</v>
      </c>
      <c r="AQ67" s="27" t="s">
        <v>41</v>
      </c>
      <c r="AR67" s="28" t="s">
        <v>41</v>
      </c>
      <c r="AS67" s="27" t="s">
        <v>15</v>
      </c>
      <c r="AT67" s="27">
        <v>4</v>
      </c>
      <c r="AU67" s="82">
        <v>0.46</v>
      </c>
      <c r="AV67" s="86" t="s">
        <v>41</v>
      </c>
      <c r="AW67" s="28">
        <v>0</v>
      </c>
      <c r="AX67" s="29">
        <f t="shared" si="21"/>
        <v>4.916666666666667</v>
      </c>
      <c r="AY67" s="30" t="str">
        <f t="shared" si="22"/>
        <v>Bench</v>
      </c>
      <c r="AZ67" s="30">
        <f t="shared" si="23"/>
        <v>4.916666666666667</v>
      </c>
      <c r="BA67" s="30" t="str">
        <f t="shared" si="24"/>
        <v>Bench</v>
      </c>
      <c r="BB67" s="30">
        <f t="shared" si="25"/>
        <v>4.916666666666667</v>
      </c>
      <c r="BC67" s="30" t="str">
        <f t="shared" si="26"/>
        <v>Bench</v>
      </c>
      <c r="BD67" s="107">
        <f t="shared" si="27"/>
        <v>3</v>
      </c>
      <c r="BE67" s="108">
        <f t="shared" si="28"/>
        <v>2</v>
      </c>
      <c r="BF67" s="27" t="str">
        <f t="shared" si="29"/>
        <v/>
      </c>
      <c r="BG67" s="27" t="str">
        <f t="shared" si="30"/>
        <v>Possible</v>
      </c>
      <c r="BH67" t="str">
        <f t="shared" si="31"/>
        <v>AAA</v>
      </c>
      <c r="BI67">
        <f t="shared" si="32"/>
        <v>14</v>
      </c>
      <c r="BJ67">
        <f t="shared" si="33"/>
        <v>14</v>
      </c>
      <c r="BK67">
        <f t="shared" si="34"/>
        <v>0</v>
      </c>
      <c r="BL67">
        <f t="shared" si="35"/>
        <v>0</v>
      </c>
      <c r="BM67">
        <f t="shared" si="36"/>
        <v>0</v>
      </c>
      <c r="BN67">
        <f t="shared" si="37"/>
        <v>0</v>
      </c>
    </row>
    <row r="68" spans="1:66" hidden="1">
      <c r="A68" s="95" t="str">
        <f>IF(ISERROR(VLOOKUP(E68,CON!$C$53:$C$70,1,FALSE)),IF(ISERROR(VLOOKUP(E68,'PSP-AAA'!$C$51:$C$72,1,FALSE)),IF(ISERROR(VLOOKUP(E68,'NH-AA'!$C$51:$C$72,1,FALSE)),IF(ISERROR(VLOOKUP(E68,'CRG-A'!$C$51:$C$72,1,FALSE)),IF(ISERROR(VLOOKUP(E68,'PC-S A'!$C$51:$C$72,1,FALSE)),"","S A"),"A"),"AA"),"AAA"),"ML")</f>
        <v/>
      </c>
      <c r="C68" t="str">
        <f t="shared" si="20"/>
        <v>K</v>
      </c>
      <c r="D68" s="27" t="s">
        <v>108</v>
      </c>
      <c r="E68" s="27" t="s">
        <v>375</v>
      </c>
      <c r="F68" s="27" t="s">
        <v>372</v>
      </c>
      <c r="G68" s="27" t="s">
        <v>209</v>
      </c>
      <c r="H68" s="27">
        <v>21</v>
      </c>
      <c r="I68" s="27" t="s">
        <v>104</v>
      </c>
      <c r="J68" s="28" t="s">
        <v>104</v>
      </c>
      <c r="K68" s="27" t="s">
        <v>47</v>
      </c>
      <c r="L68" s="27" t="s">
        <v>42</v>
      </c>
      <c r="M68" s="27" t="s">
        <v>224</v>
      </c>
      <c r="N68" s="28" t="s">
        <v>225</v>
      </c>
      <c r="O68" s="27">
        <v>6</v>
      </c>
      <c r="P68" s="27">
        <v>4</v>
      </c>
      <c r="Q68" s="28">
        <v>4</v>
      </c>
      <c r="R68" s="27">
        <v>6</v>
      </c>
      <c r="S68" s="27">
        <v>4</v>
      </c>
      <c r="T68" s="28">
        <v>4</v>
      </c>
      <c r="U68" s="27">
        <v>7</v>
      </c>
      <c r="V68" s="27">
        <v>7</v>
      </c>
      <c r="W68" s="27" t="s">
        <v>41</v>
      </c>
      <c r="X68" s="27" t="s">
        <v>41</v>
      </c>
      <c r="Y68" s="27" t="s">
        <v>41</v>
      </c>
      <c r="Z68" s="27" t="s">
        <v>41</v>
      </c>
      <c r="AA68" s="27">
        <v>6</v>
      </c>
      <c r="AB68" s="27">
        <v>6</v>
      </c>
      <c r="AC68" s="27" t="s">
        <v>41</v>
      </c>
      <c r="AD68" s="27" t="s">
        <v>41</v>
      </c>
      <c r="AE68" s="27" t="s">
        <v>41</v>
      </c>
      <c r="AF68" s="27" t="s">
        <v>41</v>
      </c>
      <c r="AG68" s="27" t="s">
        <v>41</v>
      </c>
      <c r="AH68" s="27" t="s">
        <v>41</v>
      </c>
      <c r="AI68" s="27" t="s">
        <v>41</v>
      </c>
      <c r="AJ68" s="27" t="s">
        <v>41</v>
      </c>
      <c r="AK68" s="27">
        <v>5</v>
      </c>
      <c r="AL68" s="27">
        <v>5</v>
      </c>
      <c r="AM68" s="27" t="s">
        <v>41</v>
      </c>
      <c r="AN68" s="27" t="s">
        <v>41</v>
      </c>
      <c r="AO68" s="27" t="s">
        <v>41</v>
      </c>
      <c r="AP68" s="27" t="s">
        <v>41</v>
      </c>
      <c r="AQ68" s="27" t="s">
        <v>41</v>
      </c>
      <c r="AR68" s="28" t="s">
        <v>41</v>
      </c>
      <c r="AS68" s="27" t="s">
        <v>14</v>
      </c>
      <c r="AT68" s="27">
        <v>5</v>
      </c>
      <c r="AU68" s="82">
        <v>0.49</v>
      </c>
      <c r="AV68" s="86" t="s">
        <v>41</v>
      </c>
      <c r="AW68" s="28">
        <v>0</v>
      </c>
      <c r="AX68" s="29">
        <f t="shared" si="21"/>
        <v>4.916666666666667</v>
      </c>
      <c r="AY68" s="30" t="str">
        <f t="shared" si="22"/>
        <v>Bench</v>
      </c>
      <c r="AZ68" s="30">
        <f t="shared" si="23"/>
        <v>4.916666666666667</v>
      </c>
      <c r="BA68" s="30" t="str">
        <f t="shared" si="24"/>
        <v>Bench</v>
      </c>
      <c r="BB68" s="30">
        <f t="shared" si="25"/>
        <v>4.916666666666667</v>
      </c>
      <c r="BC68" s="30" t="str">
        <f t="shared" si="26"/>
        <v>Bench</v>
      </c>
      <c r="BD68" s="107">
        <f t="shared" si="27"/>
        <v>3</v>
      </c>
      <c r="BE68" s="108">
        <f t="shared" si="28"/>
        <v>2</v>
      </c>
      <c r="BF68" s="27" t="str">
        <f t="shared" si="29"/>
        <v/>
      </c>
      <c r="BG68" s="27" t="str">
        <f t="shared" si="30"/>
        <v>Possible</v>
      </c>
      <c r="BH68" t="str">
        <f t="shared" si="31"/>
        <v>AAA</v>
      </c>
      <c r="BI68">
        <f t="shared" si="32"/>
        <v>14</v>
      </c>
      <c r="BJ68">
        <f t="shared" si="33"/>
        <v>14</v>
      </c>
      <c r="BK68">
        <f t="shared" si="34"/>
        <v>0</v>
      </c>
      <c r="BL68">
        <f t="shared" si="35"/>
        <v>0</v>
      </c>
      <c r="BM68">
        <f t="shared" si="36"/>
        <v>0</v>
      </c>
      <c r="BN68">
        <f t="shared" si="37"/>
        <v>0</v>
      </c>
    </row>
    <row r="69" spans="1:66">
      <c r="A69" s="95" t="str">
        <f>IF(ISERROR(VLOOKUP(E69,CON!$C$53:$C$70,1,FALSE)),IF(ISERROR(VLOOKUP(E69,'PSP-AAA'!$C$51:$C$72,1,FALSE)),IF(ISERROR(VLOOKUP(E69,'NH-AA'!$C$51:$C$72,1,FALSE)),IF(ISERROR(VLOOKUP(E69,'CRG-A'!$C$51:$C$72,1,FALSE)),IF(ISERROR(VLOOKUP(E69,'PC-S A'!$C$51:$C$72,1,FALSE)),"","S A"),"A"),"AA"),"AAA"),"ML")</f>
        <v/>
      </c>
      <c r="C69" t="str">
        <f t="shared" si="20"/>
        <v>T</v>
      </c>
      <c r="D69" s="27" t="s">
        <v>108</v>
      </c>
      <c r="E69" s="27" t="s">
        <v>476</v>
      </c>
      <c r="F69" s="27" t="s">
        <v>372</v>
      </c>
      <c r="G69" s="27" t="s">
        <v>209</v>
      </c>
      <c r="H69" s="27">
        <v>22</v>
      </c>
      <c r="I69" s="27" t="s">
        <v>104</v>
      </c>
      <c r="J69" s="28" t="s">
        <v>104</v>
      </c>
      <c r="K69" s="27" t="s">
        <v>47</v>
      </c>
      <c r="L69" s="27" t="s">
        <v>42</v>
      </c>
      <c r="M69" s="27" t="s">
        <v>225</v>
      </c>
      <c r="N69" s="28" t="s">
        <v>225</v>
      </c>
      <c r="O69" s="27">
        <v>7</v>
      </c>
      <c r="P69" s="27">
        <v>4</v>
      </c>
      <c r="Q69" s="28">
        <v>2</v>
      </c>
      <c r="R69" s="27">
        <v>8</v>
      </c>
      <c r="S69" s="27">
        <v>4</v>
      </c>
      <c r="T69" s="28">
        <v>3</v>
      </c>
      <c r="U69" s="27">
        <v>8</v>
      </c>
      <c r="V69" s="27">
        <v>8</v>
      </c>
      <c r="W69" s="27">
        <v>7</v>
      </c>
      <c r="X69" s="27">
        <v>7</v>
      </c>
      <c r="Y69" s="27">
        <v>3</v>
      </c>
      <c r="Z69" s="27">
        <v>3</v>
      </c>
      <c r="AA69" s="27" t="s">
        <v>41</v>
      </c>
      <c r="AB69" s="27" t="s">
        <v>41</v>
      </c>
      <c r="AC69" s="27" t="s">
        <v>41</v>
      </c>
      <c r="AD69" s="27" t="s">
        <v>41</v>
      </c>
      <c r="AE69" s="27" t="s">
        <v>41</v>
      </c>
      <c r="AF69" s="27" t="s">
        <v>41</v>
      </c>
      <c r="AG69" s="27" t="s">
        <v>41</v>
      </c>
      <c r="AH69" s="27" t="s">
        <v>41</v>
      </c>
      <c r="AI69" s="27">
        <v>7</v>
      </c>
      <c r="AJ69" s="27">
        <v>7</v>
      </c>
      <c r="AK69" s="27" t="s">
        <v>41</v>
      </c>
      <c r="AL69" s="27" t="s">
        <v>41</v>
      </c>
      <c r="AM69" s="27" t="s">
        <v>41</v>
      </c>
      <c r="AN69" s="27" t="s">
        <v>41</v>
      </c>
      <c r="AO69" s="27" t="s">
        <v>41</v>
      </c>
      <c r="AP69" s="27" t="s">
        <v>41</v>
      </c>
      <c r="AQ69" s="27" t="s">
        <v>41</v>
      </c>
      <c r="AR69" s="28" t="s">
        <v>41</v>
      </c>
      <c r="AS69" s="27" t="s">
        <v>402</v>
      </c>
      <c r="AT69" s="27">
        <v>4</v>
      </c>
      <c r="AU69" s="82">
        <v>0.48</v>
      </c>
      <c r="AV69" s="86" t="s">
        <v>41</v>
      </c>
      <c r="AW69" s="28">
        <v>0</v>
      </c>
      <c r="AX69" s="29">
        <f t="shared" si="21"/>
        <v>4.833333333333333</v>
      </c>
      <c r="AY69" s="30" t="str">
        <f t="shared" si="22"/>
        <v>Bench</v>
      </c>
      <c r="AZ69" s="30">
        <f t="shared" si="23"/>
        <v>5.5</v>
      </c>
      <c r="BA69" s="30" t="str">
        <f t="shared" si="24"/>
        <v>Reg</v>
      </c>
      <c r="BB69" s="30">
        <f t="shared" si="25"/>
        <v>5.5</v>
      </c>
      <c r="BC69" s="30" t="str">
        <f t="shared" si="26"/>
        <v>Reg</v>
      </c>
      <c r="BD69" s="107">
        <f t="shared" si="27"/>
        <v>4</v>
      </c>
      <c r="BE69" s="108">
        <f t="shared" si="28"/>
        <v>3</v>
      </c>
      <c r="BF69" s="27" t="str">
        <f t="shared" si="29"/>
        <v/>
      </c>
      <c r="BG69" s="27" t="str">
        <f t="shared" si="30"/>
        <v>Possible</v>
      </c>
      <c r="BH69" t="str">
        <f t="shared" si="31"/>
        <v>AA</v>
      </c>
      <c r="BI69">
        <f t="shared" si="32"/>
        <v>13</v>
      </c>
      <c r="BJ69">
        <f t="shared" si="33"/>
        <v>15</v>
      </c>
      <c r="BK69">
        <f t="shared" si="34"/>
        <v>-1</v>
      </c>
      <c r="BL69">
        <f t="shared" si="35"/>
        <v>0</v>
      </c>
      <c r="BM69">
        <f t="shared" si="36"/>
        <v>-1</v>
      </c>
      <c r="BN69">
        <f t="shared" si="37"/>
        <v>-2</v>
      </c>
    </row>
    <row r="70" spans="1:66">
      <c r="A70" s="95" t="str">
        <f>IF(ISERROR(VLOOKUP(E70,CON!$C$53:$C$70,1,FALSE)),IF(ISERROR(VLOOKUP(E70,'PSP-AAA'!$C$51:$C$72,1,FALSE)),IF(ISERROR(VLOOKUP(E70,'NH-AA'!$C$51:$C$72,1,FALSE)),IF(ISERROR(VLOOKUP(E70,'CRG-A'!$C$51:$C$72,1,FALSE)),IF(ISERROR(VLOOKUP(E70,'PC-S A'!$C$51:$C$72,1,FALSE)),"","S A"),"A"),"AA"),"AAA"),"ML")</f>
        <v/>
      </c>
      <c r="C70" t="str">
        <f t="shared" si="20"/>
        <v>K</v>
      </c>
      <c r="D70" s="27" t="s">
        <v>107</v>
      </c>
      <c r="E70" s="27" t="s">
        <v>338</v>
      </c>
      <c r="F70" s="27" t="s">
        <v>372</v>
      </c>
      <c r="G70" s="27" t="s">
        <v>209</v>
      </c>
      <c r="H70" s="27">
        <v>23</v>
      </c>
      <c r="I70" s="27" t="s">
        <v>104</v>
      </c>
      <c r="J70" s="28" t="s">
        <v>103</v>
      </c>
      <c r="K70" s="27" t="s">
        <v>47</v>
      </c>
      <c r="L70" s="27" t="s">
        <v>42</v>
      </c>
      <c r="M70" s="27" t="s">
        <v>224</v>
      </c>
      <c r="N70" s="28" t="s">
        <v>224</v>
      </c>
      <c r="O70" s="27">
        <v>5</v>
      </c>
      <c r="P70" s="27">
        <v>5</v>
      </c>
      <c r="Q70" s="28">
        <v>4</v>
      </c>
      <c r="R70" s="27">
        <v>5</v>
      </c>
      <c r="S70" s="27">
        <v>5</v>
      </c>
      <c r="T70" s="28">
        <v>6</v>
      </c>
      <c r="U70" s="27">
        <v>5</v>
      </c>
      <c r="V70" s="27">
        <v>5</v>
      </c>
      <c r="W70" s="27">
        <v>4</v>
      </c>
      <c r="X70" s="27">
        <v>4</v>
      </c>
      <c r="Y70" s="27">
        <v>4</v>
      </c>
      <c r="Z70" s="27">
        <v>4</v>
      </c>
      <c r="AA70" s="27" t="s">
        <v>41</v>
      </c>
      <c r="AB70" s="27" t="s">
        <v>41</v>
      </c>
      <c r="AC70" s="27" t="s">
        <v>41</v>
      </c>
      <c r="AD70" s="27" t="s">
        <v>41</v>
      </c>
      <c r="AE70" s="27" t="s">
        <v>41</v>
      </c>
      <c r="AF70" s="27" t="s">
        <v>41</v>
      </c>
      <c r="AG70" s="27" t="s">
        <v>41</v>
      </c>
      <c r="AH70" s="27" t="s">
        <v>41</v>
      </c>
      <c r="AI70" s="27" t="s">
        <v>41</v>
      </c>
      <c r="AJ70" s="27" t="s">
        <v>41</v>
      </c>
      <c r="AK70" s="27" t="s">
        <v>41</v>
      </c>
      <c r="AL70" s="27" t="s">
        <v>41</v>
      </c>
      <c r="AM70" s="27" t="s">
        <v>41</v>
      </c>
      <c r="AN70" s="27" t="s">
        <v>41</v>
      </c>
      <c r="AO70" s="27" t="s">
        <v>41</v>
      </c>
      <c r="AP70" s="27" t="s">
        <v>41</v>
      </c>
      <c r="AQ70" s="27" t="s">
        <v>41</v>
      </c>
      <c r="AR70" s="28" t="s">
        <v>41</v>
      </c>
      <c r="AS70" s="27" t="s">
        <v>6</v>
      </c>
      <c r="AT70" s="27">
        <v>4</v>
      </c>
      <c r="AU70" s="82">
        <v>0.55000000000000004</v>
      </c>
      <c r="AV70" s="86" t="s">
        <v>41</v>
      </c>
      <c r="AW70" s="28">
        <v>0</v>
      </c>
      <c r="AX70" s="29">
        <f t="shared" si="21"/>
        <v>4.666666666666667</v>
      </c>
      <c r="AY70" s="30" t="str">
        <f t="shared" si="22"/>
        <v>Bench</v>
      </c>
      <c r="AZ70" s="30">
        <f t="shared" si="23"/>
        <v>5.333333333333333</v>
      </c>
      <c r="BA70" s="30" t="str">
        <f t="shared" si="24"/>
        <v>Reg</v>
      </c>
      <c r="BB70" s="30">
        <f t="shared" si="25"/>
        <v>5.333333333333333</v>
      </c>
      <c r="BC70" s="30" t="str">
        <f t="shared" si="26"/>
        <v>Reg</v>
      </c>
      <c r="BD70" s="107">
        <f t="shared" si="27"/>
        <v>3</v>
      </c>
      <c r="BE70" s="108">
        <f t="shared" si="28"/>
        <v>0</v>
      </c>
      <c r="BF70" s="27" t="str">
        <f t="shared" si="29"/>
        <v/>
      </c>
      <c r="BG70" s="27" t="str">
        <f t="shared" si="30"/>
        <v>Possible</v>
      </c>
      <c r="BH70" t="str">
        <f t="shared" si="31"/>
        <v>AAA</v>
      </c>
      <c r="BI70">
        <f t="shared" si="32"/>
        <v>14</v>
      </c>
      <c r="BJ70">
        <f t="shared" si="33"/>
        <v>16</v>
      </c>
      <c r="BK70">
        <f t="shared" si="34"/>
        <v>0</v>
      </c>
      <c r="BL70">
        <f t="shared" si="35"/>
        <v>0</v>
      </c>
      <c r="BM70">
        <f t="shared" si="36"/>
        <v>-2</v>
      </c>
      <c r="BN70">
        <f t="shared" si="37"/>
        <v>-2</v>
      </c>
    </row>
    <row r="71" spans="1:66" hidden="1">
      <c r="A71" s="95" t="str">
        <f>IF(ISERROR(VLOOKUP(E71,CON!$C$53:$C$70,1,FALSE)),IF(ISERROR(VLOOKUP(E71,'PSP-AAA'!$C$51:$C$72,1,FALSE)),IF(ISERROR(VLOOKUP(E71,'NH-AA'!$C$51:$C$72,1,FALSE)),IF(ISERROR(VLOOKUP(E71,'CRG-A'!$C$51:$C$72,1,FALSE)),IF(ISERROR(VLOOKUP(E71,'PC-S A'!$C$51:$C$72,1,FALSE)),"","S A"),"A"),"AA"),"AAA"),"ML")</f>
        <v/>
      </c>
      <c r="C71" t="str">
        <f t="shared" si="20"/>
        <v>K</v>
      </c>
      <c r="D71" s="27" t="s">
        <v>108</v>
      </c>
      <c r="E71" s="27" t="s">
        <v>395</v>
      </c>
      <c r="F71" s="27" t="s">
        <v>373</v>
      </c>
      <c r="G71" s="27" t="s">
        <v>210</v>
      </c>
      <c r="H71" s="27">
        <v>21</v>
      </c>
      <c r="I71" s="27" t="s">
        <v>104</v>
      </c>
      <c r="J71" s="28" t="s">
        <v>104</v>
      </c>
      <c r="K71" s="27" t="s">
        <v>47</v>
      </c>
      <c r="L71" s="27" t="s">
        <v>42</v>
      </c>
      <c r="M71" s="27" t="s">
        <v>223</v>
      </c>
      <c r="N71" s="28" t="s">
        <v>224</v>
      </c>
      <c r="O71" s="27">
        <v>5</v>
      </c>
      <c r="P71" s="27">
        <v>4</v>
      </c>
      <c r="Q71" s="28">
        <v>4</v>
      </c>
      <c r="R71" s="27">
        <v>5</v>
      </c>
      <c r="S71" s="27">
        <v>5</v>
      </c>
      <c r="T71" s="28">
        <v>6</v>
      </c>
      <c r="U71" s="27">
        <v>5</v>
      </c>
      <c r="V71" s="27">
        <v>5</v>
      </c>
      <c r="W71" s="27">
        <v>5</v>
      </c>
      <c r="X71" s="27">
        <v>5</v>
      </c>
      <c r="Y71" s="27">
        <v>4</v>
      </c>
      <c r="Z71" s="27">
        <v>5</v>
      </c>
      <c r="AA71" s="27">
        <v>5</v>
      </c>
      <c r="AB71" s="27">
        <v>5</v>
      </c>
      <c r="AC71" s="27" t="s">
        <v>41</v>
      </c>
      <c r="AD71" s="27" t="s">
        <v>41</v>
      </c>
      <c r="AE71" s="27" t="s">
        <v>41</v>
      </c>
      <c r="AF71" s="27" t="s">
        <v>41</v>
      </c>
      <c r="AG71" s="27" t="s">
        <v>41</v>
      </c>
      <c r="AH71" s="27" t="s">
        <v>41</v>
      </c>
      <c r="AI71" s="27" t="s">
        <v>41</v>
      </c>
      <c r="AJ71" s="27" t="s">
        <v>41</v>
      </c>
      <c r="AK71" s="27" t="s">
        <v>41</v>
      </c>
      <c r="AL71" s="27" t="s">
        <v>41</v>
      </c>
      <c r="AM71" s="27" t="s">
        <v>41</v>
      </c>
      <c r="AN71" s="27" t="s">
        <v>41</v>
      </c>
      <c r="AO71" s="27" t="s">
        <v>41</v>
      </c>
      <c r="AP71" s="27" t="s">
        <v>41</v>
      </c>
      <c r="AQ71" s="27" t="s">
        <v>41</v>
      </c>
      <c r="AR71" s="28" t="s">
        <v>41</v>
      </c>
      <c r="AS71" s="27" t="s">
        <v>2</v>
      </c>
      <c r="AT71" s="27">
        <v>9</v>
      </c>
      <c r="AU71" s="82">
        <v>0.51</v>
      </c>
      <c r="AV71" s="86" t="s">
        <v>41</v>
      </c>
      <c r="AW71" s="28">
        <v>0</v>
      </c>
      <c r="AX71" s="29">
        <f t="shared" si="21"/>
        <v>4.583333333333333</v>
      </c>
      <c r="AY71" s="30" t="str">
        <f t="shared" si="22"/>
        <v>Bench</v>
      </c>
      <c r="AZ71" s="30">
        <f t="shared" si="23"/>
        <v>5.583333333333333</v>
      </c>
      <c r="BA71" s="30" t="str">
        <f t="shared" si="24"/>
        <v>Reg</v>
      </c>
      <c r="BB71" s="30">
        <f t="shared" si="25"/>
        <v>5.583333333333333</v>
      </c>
      <c r="BC71" s="30" t="str">
        <f t="shared" si="26"/>
        <v>Reg</v>
      </c>
      <c r="BD71" s="107">
        <f t="shared" si="27"/>
        <v>4</v>
      </c>
      <c r="BE71" s="108">
        <f t="shared" si="28"/>
        <v>0</v>
      </c>
      <c r="BF71" s="27" t="str">
        <f t="shared" si="29"/>
        <v/>
      </c>
      <c r="BG71" s="27" t="str">
        <f t="shared" si="30"/>
        <v>Possible</v>
      </c>
      <c r="BH71" t="str">
        <f t="shared" si="31"/>
        <v>AA</v>
      </c>
      <c r="BI71">
        <f t="shared" si="32"/>
        <v>13</v>
      </c>
      <c r="BJ71">
        <f t="shared" si="33"/>
        <v>16</v>
      </c>
      <c r="BK71">
        <f t="shared" si="34"/>
        <v>0</v>
      </c>
      <c r="BL71">
        <f t="shared" si="35"/>
        <v>-1</v>
      </c>
      <c r="BM71">
        <f t="shared" si="36"/>
        <v>-2</v>
      </c>
      <c r="BN71">
        <f t="shared" si="37"/>
        <v>-3</v>
      </c>
    </row>
    <row r="72" spans="1:66">
      <c r="A72" s="95" t="str">
        <f>IF(ISERROR(VLOOKUP(E72,CON!$C$53:$C$70,1,FALSE)),IF(ISERROR(VLOOKUP(E72,'PSP-AAA'!$C$51:$C$72,1,FALSE)),IF(ISERROR(VLOOKUP(E72,'NH-AA'!$C$51:$C$72,1,FALSE)),IF(ISERROR(VLOOKUP(E72,'CRG-A'!$C$51:$C$72,1,FALSE)),IF(ISERROR(VLOOKUP(E72,'PC-S A'!$C$51:$C$72,1,FALSE)),"","S A"),"A"),"AA"),"AAA"),"ML")</f>
        <v/>
      </c>
      <c r="C72" t="str">
        <f t="shared" si="20"/>
        <v>T</v>
      </c>
      <c r="D72" s="27" t="s">
        <v>108</v>
      </c>
      <c r="E72" s="27" t="s">
        <v>317</v>
      </c>
      <c r="F72" s="27" t="s">
        <v>373</v>
      </c>
      <c r="G72" s="27" t="s">
        <v>210</v>
      </c>
      <c r="H72" s="27">
        <v>22</v>
      </c>
      <c r="I72" s="27" t="s">
        <v>104</v>
      </c>
      <c r="J72" s="28" t="s">
        <v>104</v>
      </c>
      <c r="K72" s="27" t="s">
        <v>47</v>
      </c>
      <c r="L72" s="27" t="s">
        <v>47</v>
      </c>
      <c r="M72" s="27" t="s">
        <v>226</v>
      </c>
      <c r="N72" s="28" t="s">
        <v>224</v>
      </c>
      <c r="O72" s="27">
        <v>5</v>
      </c>
      <c r="P72" s="27">
        <v>6</v>
      </c>
      <c r="Q72" s="28">
        <v>2</v>
      </c>
      <c r="R72" s="27">
        <v>6</v>
      </c>
      <c r="S72" s="27">
        <v>6</v>
      </c>
      <c r="T72" s="28">
        <v>2</v>
      </c>
      <c r="U72" s="27">
        <v>7</v>
      </c>
      <c r="V72" s="27">
        <v>7</v>
      </c>
      <c r="W72" s="27">
        <v>6</v>
      </c>
      <c r="X72" s="27">
        <v>6</v>
      </c>
      <c r="Y72" s="27">
        <v>6</v>
      </c>
      <c r="Z72" s="27">
        <v>6</v>
      </c>
      <c r="AA72" s="27" t="s">
        <v>41</v>
      </c>
      <c r="AB72" s="27" t="s">
        <v>41</v>
      </c>
      <c r="AC72" s="27" t="s">
        <v>41</v>
      </c>
      <c r="AD72" s="27" t="s">
        <v>41</v>
      </c>
      <c r="AE72" s="27" t="s">
        <v>41</v>
      </c>
      <c r="AF72" s="27" t="s">
        <v>41</v>
      </c>
      <c r="AG72" s="27" t="s">
        <v>41</v>
      </c>
      <c r="AH72" s="27" t="s">
        <v>41</v>
      </c>
      <c r="AI72" s="27" t="s">
        <v>41</v>
      </c>
      <c r="AJ72" s="27" t="s">
        <v>41</v>
      </c>
      <c r="AK72" s="27" t="s">
        <v>41</v>
      </c>
      <c r="AL72" s="27" t="s">
        <v>41</v>
      </c>
      <c r="AM72" s="27" t="s">
        <v>41</v>
      </c>
      <c r="AN72" s="27" t="s">
        <v>41</v>
      </c>
      <c r="AO72" s="27" t="s">
        <v>41</v>
      </c>
      <c r="AP72" s="27" t="s">
        <v>41</v>
      </c>
      <c r="AQ72" s="27" t="s">
        <v>41</v>
      </c>
      <c r="AR72" s="28" t="s">
        <v>41</v>
      </c>
      <c r="AS72" s="27" t="s">
        <v>242</v>
      </c>
      <c r="AT72" s="27">
        <v>8</v>
      </c>
      <c r="AU72" s="82">
        <v>0.53</v>
      </c>
      <c r="AV72" s="86" t="s">
        <v>41</v>
      </c>
      <c r="AW72" s="28">
        <v>0</v>
      </c>
      <c r="AX72" s="29">
        <f t="shared" si="21"/>
        <v>4.583333333333333</v>
      </c>
      <c r="AY72" s="30" t="str">
        <f t="shared" si="22"/>
        <v>Bench</v>
      </c>
      <c r="AZ72" s="30">
        <f t="shared" si="23"/>
        <v>4.916666666666667</v>
      </c>
      <c r="BA72" s="30" t="str">
        <f t="shared" si="24"/>
        <v>Bench</v>
      </c>
      <c r="BB72" s="30">
        <f t="shared" si="25"/>
        <v>4.916666666666667</v>
      </c>
      <c r="BC72" s="30" t="str">
        <f t="shared" si="26"/>
        <v>Bench</v>
      </c>
      <c r="BD72" s="107">
        <f t="shared" si="27"/>
        <v>3</v>
      </c>
      <c r="BE72" s="108">
        <f t="shared" si="28"/>
        <v>3</v>
      </c>
      <c r="BF72" s="27" t="str">
        <f t="shared" si="29"/>
        <v/>
      </c>
      <c r="BG72" s="27" t="str">
        <f t="shared" si="30"/>
        <v>Possible</v>
      </c>
      <c r="BH72" t="str">
        <f t="shared" si="31"/>
        <v>AA</v>
      </c>
      <c r="BI72">
        <f t="shared" si="32"/>
        <v>13</v>
      </c>
      <c r="BJ72">
        <f t="shared" si="33"/>
        <v>14</v>
      </c>
      <c r="BK72">
        <f t="shared" si="34"/>
        <v>-1</v>
      </c>
      <c r="BL72">
        <f t="shared" si="35"/>
        <v>0</v>
      </c>
      <c r="BM72">
        <f t="shared" si="36"/>
        <v>0</v>
      </c>
      <c r="BN72">
        <f t="shared" si="37"/>
        <v>-1</v>
      </c>
    </row>
    <row r="73" spans="1:66">
      <c r="A73" s="95" t="str">
        <f>IF(ISERROR(VLOOKUP(E73,CON!$C$53:$C$70,1,FALSE)),IF(ISERROR(VLOOKUP(E73,'PSP-AAA'!$C$51:$C$72,1,FALSE)),IF(ISERROR(VLOOKUP(E73,'NH-AA'!$C$51:$C$72,1,FALSE)),IF(ISERROR(VLOOKUP(E73,'CRG-A'!$C$51:$C$72,1,FALSE)),IF(ISERROR(VLOOKUP(E73,'PC-S A'!$C$51:$C$72,1,FALSE)),"","S A"),"A"),"AA"),"AAA"),"ML")</f>
        <v/>
      </c>
      <c r="C73" t="str">
        <f t="shared" si="20"/>
        <v>K</v>
      </c>
      <c r="D73" s="27" t="s">
        <v>107</v>
      </c>
      <c r="E73" s="27" t="s">
        <v>405</v>
      </c>
      <c r="F73" s="27" t="s">
        <v>373</v>
      </c>
      <c r="G73" s="27" t="s">
        <v>210</v>
      </c>
      <c r="H73" s="27">
        <v>24</v>
      </c>
      <c r="I73" s="27" t="s">
        <v>106</v>
      </c>
      <c r="J73" s="28" t="s">
        <v>104</v>
      </c>
      <c r="K73" s="27" t="s">
        <v>47</v>
      </c>
      <c r="L73" s="27" t="s">
        <v>47</v>
      </c>
      <c r="M73" s="27" t="s">
        <v>225</v>
      </c>
      <c r="N73" s="28" t="s">
        <v>224</v>
      </c>
      <c r="O73" s="27">
        <v>5</v>
      </c>
      <c r="P73" s="27">
        <v>5</v>
      </c>
      <c r="Q73" s="28">
        <v>3</v>
      </c>
      <c r="R73" s="27">
        <v>5</v>
      </c>
      <c r="S73" s="27">
        <v>5</v>
      </c>
      <c r="T73" s="28">
        <v>4</v>
      </c>
      <c r="U73" s="27">
        <v>6</v>
      </c>
      <c r="V73" s="27">
        <v>6</v>
      </c>
      <c r="W73" s="27" t="s">
        <v>41</v>
      </c>
      <c r="X73" s="27" t="s">
        <v>41</v>
      </c>
      <c r="Y73" s="27">
        <v>4</v>
      </c>
      <c r="Z73" s="27">
        <v>5</v>
      </c>
      <c r="AA73" s="27" t="s">
        <v>41</v>
      </c>
      <c r="AB73" s="27" t="s">
        <v>41</v>
      </c>
      <c r="AC73" s="27" t="s">
        <v>41</v>
      </c>
      <c r="AD73" s="27" t="s">
        <v>41</v>
      </c>
      <c r="AE73" s="27" t="s">
        <v>41</v>
      </c>
      <c r="AF73" s="27" t="s">
        <v>41</v>
      </c>
      <c r="AG73" s="27" t="s">
        <v>41</v>
      </c>
      <c r="AH73" s="27" t="s">
        <v>41</v>
      </c>
      <c r="AI73" s="27" t="s">
        <v>41</v>
      </c>
      <c r="AJ73" s="27" t="s">
        <v>41</v>
      </c>
      <c r="AK73" s="27" t="s">
        <v>41</v>
      </c>
      <c r="AL73" s="27" t="s">
        <v>41</v>
      </c>
      <c r="AM73" s="27" t="s">
        <v>41</v>
      </c>
      <c r="AN73" s="27" t="s">
        <v>41</v>
      </c>
      <c r="AO73" s="27" t="s">
        <v>41</v>
      </c>
      <c r="AP73" s="27" t="s">
        <v>41</v>
      </c>
      <c r="AQ73" s="27" t="s">
        <v>41</v>
      </c>
      <c r="AR73" s="28" t="s">
        <v>41</v>
      </c>
      <c r="AS73" s="27" t="s">
        <v>11</v>
      </c>
      <c r="AT73" s="27">
        <v>2</v>
      </c>
      <c r="AU73" s="82">
        <v>0.37</v>
      </c>
      <c r="AV73" s="86" t="s">
        <v>41</v>
      </c>
      <c r="AW73" s="28">
        <v>0</v>
      </c>
      <c r="AX73" s="29">
        <f t="shared" si="21"/>
        <v>4.583333333333333</v>
      </c>
      <c r="AY73" s="30" t="str">
        <f t="shared" si="22"/>
        <v>Bench</v>
      </c>
      <c r="AZ73" s="30">
        <f t="shared" si="23"/>
        <v>4.916666666666667</v>
      </c>
      <c r="BA73" s="30" t="str">
        <f t="shared" si="24"/>
        <v>Bench</v>
      </c>
      <c r="BB73" s="30">
        <f t="shared" si="25"/>
        <v>4.916666666666667</v>
      </c>
      <c r="BC73" s="30" t="str">
        <f t="shared" si="26"/>
        <v>Bench</v>
      </c>
      <c r="BD73" s="107">
        <f t="shared" si="27"/>
        <v>2</v>
      </c>
      <c r="BE73" s="108">
        <f t="shared" si="28"/>
        <v>1</v>
      </c>
      <c r="BF73" s="27" t="str">
        <f t="shared" si="29"/>
        <v/>
      </c>
      <c r="BG73" s="27" t="str">
        <f t="shared" si="30"/>
        <v>Possible</v>
      </c>
      <c r="BH73" t="str">
        <f t="shared" si="31"/>
        <v>AA</v>
      </c>
      <c r="BI73">
        <f t="shared" si="32"/>
        <v>13</v>
      </c>
      <c r="BJ73">
        <f t="shared" si="33"/>
        <v>14</v>
      </c>
      <c r="BK73">
        <f t="shared" si="34"/>
        <v>0</v>
      </c>
      <c r="BL73">
        <f t="shared" si="35"/>
        <v>0</v>
      </c>
      <c r="BM73">
        <f t="shared" si="36"/>
        <v>-1</v>
      </c>
      <c r="BN73">
        <f t="shared" si="37"/>
        <v>-1</v>
      </c>
    </row>
    <row r="74" spans="1:66">
      <c r="A74" s="95" t="str">
        <f>IF(ISERROR(VLOOKUP(E74,CON!$C$53:$C$70,1,FALSE)),IF(ISERROR(VLOOKUP(E74,'PSP-AAA'!$C$51:$C$72,1,FALSE)),IF(ISERROR(VLOOKUP(E74,'NH-AA'!$C$51:$C$72,1,FALSE)),IF(ISERROR(VLOOKUP(E74,'CRG-A'!$C$51:$C$72,1,FALSE)),IF(ISERROR(VLOOKUP(E74,'PC-S A'!$C$51:$C$72,1,FALSE)),"","S A"),"A"),"AA"),"AAA"),"ML")</f>
        <v/>
      </c>
      <c r="C74" t="str">
        <f t="shared" si="20"/>
        <v>K</v>
      </c>
      <c r="D74" s="27" t="s">
        <v>107</v>
      </c>
      <c r="E74" s="27" t="s">
        <v>339</v>
      </c>
      <c r="F74" s="27" t="s">
        <v>372</v>
      </c>
      <c r="G74" s="27" t="s">
        <v>209</v>
      </c>
      <c r="H74" s="27">
        <v>26</v>
      </c>
      <c r="I74" s="27" t="s">
        <v>103</v>
      </c>
      <c r="J74" s="28" t="s">
        <v>103</v>
      </c>
      <c r="K74" s="27" t="s">
        <v>47</v>
      </c>
      <c r="L74" s="27" t="s">
        <v>47</v>
      </c>
      <c r="M74" s="27" t="s">
        <v>225</v>
      </c>
      <c r="N74" s="28" t="s">
        <v>223</v>
      </c>
      <c r="O74" s="27">
        <v>4</v>
      </c>
      <c r="P74" s="27">
        <v>7</v>
      </c>
      <c r="Q74" s="28">
        <v>2</v>
      </c>
      <c r="R74" s="27">
        <v>4</v>
      </c>
      <c r="S74" s="27">
        <v>7</v>
      </c>
      <c r="T74" s="28">
        <v>3</v>
      </c>
      <c r="U74" s="27">
        <v>5</v>
      </c>
      <c r="V74" s="27">
        <v>5</v>
      </c>
      <c r="W74" s="27" t="s">
        <v>41</v>
      </c>
      <c r="X74" s="27" t="s">
        <v>41</v>
      </c>
      <c r="Y74" s="27" t="s">
        <v>41</v>
      </c>
      <c r="Z74" s="27" t="s">
        <v>41</v>
      </c>
      <c r="AA74" s="27">
        <v>3</v>
      </c>
      <c r="AB74" s="27">
        <v>3</v>
      </c>
      <c r="AC74" s="27" t="s">
        <v>41</v>
      </c>
      <c r="AD74" s="27" t="s">
        <v>41</v>
      </c>
      <c r="AE74" s="27" t="s">
        <v>41</v>
      </c>
      <c r="AF74" s="27" t="s">
        <v>41</v>
      </c>
      <c r="AG74" s="27" t="s">
        <v>41</v>
      </c>
      <c r="AH74" s="27" t="s">
        <v>41</v>
      </c>
      <c r="AI74" s="27" t="s">
        <v>41</v>
      </c>
      <c r="AJ74" s="27" t="s">
        <v>41</v>
      </c>
      <c r="AK74" s="27" t="s">
        <v>41</v>
      </c>
      <c r="AL74" s="27" t="s">
        <v>41</v>
      </c>
      <c r="AM74" s="27" t="s">
        <v>41</v>
      </c>
      <c r="AN74" s="27" t="s">
        <v>41</v>
      </c>
      <c r="AO74" s="27" t="s">
        <v>41</v>
      </c>
      <c r="AP74" s="27" t="s">
        <v>41</v>
      </c>
      <c r="AQ74" s="27" t="s">
        <v>41</v>
      </c>
      <c r="AR74" s="28" t="s">
        <v>41</v>
      </c>
      <c r="AS74" s="27" t="s">
        <v>1</v>
      </c>
      <c r="AT74" s="27">
        <v>2</v>
      </c>
      <c r="AU74" s="82">
        <v>0.63</v>
      </c>
      <c r="AV74" s="86" t="s">
        <v>41</v>
      </c>
      <c r="AW74" s="28">
        <v>0</v>
      </c>
      <c r="AX74" s="29">
        <f t="shared" si="21"/>
        <v>4.583333333333333</v>
      </c>
      <c r="AY74" s="30" t="str">
        <f t="shared" si="22"/>
        <v>Bench</v>
      </c>
      <c r="AZ74" s="30">
        <f t="shared" si="23"/>
        <v>4.916666666666667</v>
      </c>
      <c r="BA74" s="30" t="str">
        <f t="shared" si="24"/>
        <v>Bench</v>
      </c>
      <c r="BB74" s="30">
        <f t="shared" si="25"/>
        <v>4.916666666666667</v>
      </c>
      <c r="BC74" s="30" t="str">
        <f t="shared" si="26"/>
        <v>Bench</v>
      </c>
      <c r="BD74" s="107">
        <f t="shared" si="27"/>
        <v>2</v>
      </c>
      <c r="BE74" s="108">
        <f t="shared" si="28"/>
        <v>0</v>
      </c>
      <c r="BF74" s="27" t="str">
        <f t="shared" si="29"/>
        <v/>
      </c>
      <c r="BG74" s="27" t="str">
        <f t="shared" si="30"/>
        <v>Possible</v>
      </c>
      <c r="BH74" t="str">
        <f t="shared" si="31"/>
        <v>AA</v>
      </c>
      <c r="BI74">
        <f t="shared" si="32"/>
        <v>13</v>
      </c>
      <c r="BJ74">
        <f t="shared" si="33"/>
        <v>14</v>
      </c>
      <c r="BK74">
        <f t="shared" si="34"/>
        <v>0</v>
      </c>
      <c r="BL74">
        <f t="shared" si="35"/>
        <v>0</v>
      </c>
      <c r="BM74">
        <f t="shared" si="36"/>
        <v>-1</v>
      </c>
      <c r="BN74">
        <f t="shared" si="37"/>
        <v>-1</v>
      </c>
    </row>
    <row r="75" spans="1:66">
      <c r="A75" s="95" t="str">
        <f>IF(ISERROR(VLOOKUP(E75,CON!$C$53:$C$70,1,FALSE)),IF(ISERROR(VLOOKUP(E75,'PSP-AAA'!$C$51:$C$72,1,FALSE)),IF(ISERROR(VLOOKUP(E75,'NH-AA'!$C$51:$C$72,1,FALSE)),IF(ISERROR(VLOOKUP(E75,'CRG-A'!$C$51:$C$72,1,FALSE)),IF(ISERROR(VLOOKUP(E75,'PC-S A'!$C$51:$C$72,1,FALSE)),"","S A"),"A"),"AA"),"AAA"),"ML")</f>
        <v/>
      </c>
      <c r="C75" t="str">
        <f t="shared" ref="C75:C92" si="38">IF(OR(OR(M75="Very High",M75="High"),AND(OR(M75="Very High",M75="High",M75="Normal"),OR(N75="Very High",N75="High"))),"K","T")</f>
        <v>T</v>
      </c>
      <c r="D75" s="27" t="s">
        <v>107</v>
      </c>
      <c r="E75" s="27" t="s">
        <v>478</v>
      </c>
      <c r="F75" s="27" t="s">
        <v>373</v>
      </c>
      <c r="G75" s="27" t="s">
        <v>210</v>
      </c>
      <c r="H75" s="27">
        <v>22</v>
      </c>
      <c r="I75" s="27" t="s">
        <v>104</v>
      </c>
      <c r="J75" s="28" t="s">
        <v>103</v>
      </c>
      <c r="K75" s="27" t="s">
        <v>47</v>
      </c>
      <c r="L75" s="27" t="s">
        <v>47</v>
      </c>
      <c r="M75" s="27" t="s">
        <v>225</v>
      </c>
      <c r="N75" s="28" t="s">
        <v>225</v>
      </c>
      <c r="O75" s="27">
        <v>6</v>
      </c>
      <c r="P75" s="27">
        <v>4</v>
      </c>
      <c r="Q75" s="28">
        <v>2</v>
      </c>
      <c r="R75" s="27">
        <v>6</v>
      </c>
      <c r="S75" s="27">
        <v>4</v>
      </c>
      <c r="T75" s="28">
        <v>4</v>
      </c>
      <c r="U75" s="27">
        <v>7</v>
      </c>
      <c r="V75" s="27">
        <v>7</v>
      </c>
      <c r="W75" s="27">
        <v>4</v>
      </c>
      <c r="X75" s="27">
        <v>4</v>
      </c>
      <c r="Y75" s="27" t="s">
        <v>41</v>
      </c>
      <c r="Z75" s="27" t="s">
        <v>41</v>
      </c>
      <c r="AA75" s="27" t="s">
        <v>41</v>
      </c>
      <c r="AB75" s="27" t="s">
        <v>41</v>
      </c>
      <c r="AC75" s="27" t="s">
        <v>41</v>
      </c>
      <c r="AD75" s="27" t="s">
        <v>41</v>
      </c>
      <c r="AE75" s="27" t="s">
        <v>41</v>
      </c>
      <c r="AF75" s="27" t="s">
        <v>41</v>
      </c>
      <c r="AG75" s="27">
        <v>6</v>
      </c>
      <c r="AH75" s="27">
        <v>6</v>
      </c>
      <c r="AI75" s="27">
        <v>6</v>
      </c>
      <c r="AJ75" s="27">
        <v>6</v>
      </c>
      <c r="AK75" s="27" t="s">
        <v>41</v>
      </c>
      <c r="AL75" s="27" t="s">
        <v>41</v>
      </c>
      <c r="AM75" s="27" t="s">
        <v>41</v>
      </c>
      <c r="AN75" s="27" t="s">
        <v>41</v>
      </c>
      <c r="AO75" s="27" t="s">
        <v>41</v>
      </c>
      <c r="AP75" s="27" t="s">
        <v>41</v>
      </c>
      <c r="AQ75" s="27" t="s">
        <v>41</v>
      </c>
      <c r="AR75" s="28" t="s">
        <v>41</v>
      </c>
      <c r="AS75" s="27" t="s">
        <v>434</v>
      </c>
      <c r="AT75" s="27">
        <v>3</v>
      </c>
      <c r="AU75" s="82">
        <v>0.47</v>
      </c>
      <c r="AV75" s="86" t="s">
        <v>41</v>
      </c>
      <c r="AW75" s="28">
        <v>0</v>
      </c>
      <c r="AX75" s="29">
        <f t="shared" ref="AX75:AX92" si="39">AVERAGE(O75:Q75)+0.25*MAX(0,(COUNT(U75,W75,Y75,AA75,AC75,AE75,AG75,AI75,AK75,AM75,AO75,AQ75)-3))+IF(AU75&gt;0.55,0.25,0)+IF(MAX(U75,W75,Y75,AA75,AC75,AE75,AG75,AI75,AK75,AM75,AO75,AQ75)&gt;5,0.25,0)</f>
        <v>4.5</v>
      </c>
      <c r="AY75" s="30" t="str">
        <f t="shared" ref="AY75:AY92" si="40">IF(AX75&gt;9,"SuperStar",IF(AX75&gt;8,"Star",IF(AX75&gt;6.5,"GoodReg",IF(AX75&gt;5,"Reg",IF(AX75&gt;4,"Bench","Minors")))))</f>
        <v>Bench</v>
      </c>
      <c r="AZ75" s="30">
        <f t="shared" ref="AZ75:AZ92" si="41">AVERAGE(R75:T75)+0.25*MAX(0,(COUNT(V75,X75,Z75,AB75,AD75,AF75,AH75,AJ75,AL75,AN75,AP75,AR75)-3))+IF(AU75&gt;0.55,0.25,0)+IF(MAX(V75,X75,Z75,AB75,AD75,AF75,AH75,AJ75,AL75,AN75,AP75,AR75)&gt;5,0.25,0)</f>
        <v>5.166666666666667</v>
      </c>
      <c r="BA75" s="30" t="str">
        <f t="shared" ref="BA75:BA92" si="42">IF(AZ75&gt;9,"SuperStar",IF(AZ75&gt;8,"Star",IF(AZ75&gt;6.5,"GoodReg",IF(AZ75&gt;5,"Reg",IF(AZ75&gt;4,"Bench","Minors")))))</f>
        <v>Reg</v>
      </c>
      <c r="BB75" s="30">
        <f t="shared" ref="BB75:BB92" si="43">MIN(AX75+(MAX(0,25-S75))^1.5,AZ75)</f>
        <v>5.166666666666667</v>
      </c>
      <c r="BC75" s="30" t="str">
        <f t="shared" ref="BC75:BC92" si="44">IF(BB75&gt;9,"SuperStar",IF(BB75&gt;8,"Star",IF(BB75&gt;6.5,"GoodReg",IF(BB75&gt;5,"Reg",IF(BB75&gt;4,"Bench","Minors")))))</f>
        <v>Reg</v>
      </c>
      <c r="BD75" s="107">
        <f t="shared" ref="BD75:BD92" si="45">COUNT(U75:AR75)/2</f>
        <v>4</v>
      </c>
      <c r="BE75" s="108">
        <f t="shared" ref="BE75:BE92" si="46">COUNTIF(U75:AR75,"&gt;5")/2</f>
        <v>3</v>
      </c>
      <c r="BF75" s="27" t="str">
        <f t="shared" ref="BF75:BF92" si="47">IF(AW75=1,"Yes","")</f>
        <v/>
      </c>
      <c r="BG75" s="27" t="str">
        <f t="shared" ref="BG75:BG92" si="48">IF(A75="ML","There",IF(AVERAGE($R75:$T75)&gt;=6,"Likely",IF(AVERAGE($R75:$T75)&gt;=4,"Possible","Unlikely")))</f>
        <v>Possible</v>
      </c>
      <c r="BH75" t="str">
        <f t="shared" ref="BH75:BH92" si="49">IF(AVERAGE(O75:Q75)&gt;=5.5,"ML",IF(AVERAGE(O75:Q75)&gt;=4.5,"AAA",IF(AVERAGE(O75:Q75)&gt;=4,"AA",IF(AVERAGE(O75:Q75)&gt;=3.5,"A","SS-A"))))</f>
        <v>AA</v>
      </c>
      <c r="BI75">
        <f t="shared" ref="BI75:BI92" si="50">SUM(O75:Q75)</f>
        <v>12</v>
      </c>
      <c r="BJ75">
        <f t="shared" ref="BJ75:BJ92" si="51">SUM(R75:T75)</f>
        <v>14</v>
      </c>
      <c r="BK75">
        <f t="shared" ref="BK75:BK92" si="52">O75-R75</f>
        <v>0</v>
      </c>
      <c r="BL75">
        <f t="shared" ref="BL75:BL92" si="53">P75-S75</f>
        <v>0</v>
      </c>
      <c r="BM75">
        <f t="shared" ref="BM75:BM92" si="54">Q75-T75</f>
        <v>-2</v>
      </c>
      <c r="BN75">
        <f t="shared" ref="BN75:BN92" si="55">SUM(BK75:BM75)</f>
        <v>-2</v>
      </c>
    </row>
    <row r="76" spans="1:66">
      <c r="A76" s="95" t="str">
        <f>IF(ISERROR(VLOOKUP(E76,CON!$C$53:$C$70,1,FALSE)),IF(ISERROR(VLOOKUP(E76,'PSP-AAA'!$C$51:$C$72,1,FALSE)),IF(ISERROR(VLOOKUP(E76,'NH-AA'!$C$51:$C$72,1,FALSE)),IF(ISERROR(VLOOKUP(E76,'CRG-A'!$C$51:$C$72,1,FALSE)),IF(ISERROR(VLOOKUP(E76,'PC-S A'!$C$51:$C$72,1,FALSE)),"","S A"),"A"),"AA"),"AAA"),"ML")</f>
        <v/>
      </c>
      <c r="C76" t="str">
        <f t="shared" si="38"/>
        <v>T</v>
      </c>
      <c r="D76" s="27" t="s">
        <v>107</v>
      </c>
      <c r="E76" s="27" t="s">
        <v>480</v>
      </c>
      <c r="F76" s="27" t="s">
        <v>370</v>
      </c>
      <c r="G76" s="27" t="s">
        <v>316</v>
      </c>
      <c r="H76" s="27">
        <v>22</v>
      </c>
      <c r="I76" s="27" t="s">
        <v>104</v>
      </c>
      <c r="J76" s="28" t="s">
        <v>104</v>
      </c>
      <c r="K76" s="27" t="s">
        <v>47</v>
      </c>
      <c r="L76" s="27" t="s">
        <v>47</v>
      </c>
      <c r="M76" s="27" t="s">
        <v>227</v>
      </c>
      <c r="N76" s="28" t="s">
        <v>223</v>
      </c>
      <c r="O76" s="27">
        <v>6</v>
      </c>
      <c r="P76" s="27">
        <v>4</v>
      </c>
      <c r="Q76" s="28">
        <v>2</v>
      </c>
      <c r="R76" s="27">
        <v>6</v>
      </c>
      <c r="S76" s="27">
        <v>4</v>
      </c>
      <c r="T76" s="28">
        <v>3</v>
      </c>
      <c r="U76" s="27">
        <v>6</v>
      </c>
      <c r="V76" s="27">
        <v>6</v>
      </c>
      <c r="W76" s="27">
        <v>2</v>
      </c>
      <c r="X76" s="27">
        <v>3</v>
      </c>
      <c r="Y76" s="27">
        <v>5</v>
      </c>
      <c r="Z76" s="27">
        <v>6</v>
      </c>
      <c r="AA76" s="27">
        <v>3</v>
      </c>
      <c r="AB76" s="27">
        <v>3</v>
      </c>
      <c r="AC76" s="27" t="s">
        <v>41</v>
      </c>
      <c r="AD76" s="27" t="s">
        <v>41</v>
      </c>
      <c r="AE76" s="27" t="s">
        <v>41</v>
      </c>
      <c r="AF76" s="27" t="s">
        <v>41</v>
      </c>
      <c r="AG76" s="27" t="s">
        <v>41</v>
      </c>
      <c r="AH76" s="27" t="s">
        <v>41</v>
      </c>
      <c r="AI76" s="27" t="s">
        <v>41</v>
      </c>
      <c r="AJ76" s="27" t="s">
        <v>41</v>
      </c>
      <c r="AK76" s="27" t="s">
        <v>41</v>
      </c>
      <c r="AL76" s="27" t="s">
        <v>41</v>
      </c>
      <c r="AM76" s="27" t="s">
        <v>41</v>
      </c>
      <c r="AN76" s="27" t="s">
        <v>41</v>
      </c>
      <c r="AO76" s="27" t="s">
        <v>41</v>
      </c>
      <c r="AP76" s="27" t="s">
        <v>41</v>
      </c>
      <c r="AQ76" s="27" t="s">
        <v>41</v>
      </c>
      <c r="AR76" s="28" t="s">
        <v>41</v>
      </c>
      <c r="AS76" s="27" t="s">
        <v>5</v>
      </c>
      <c r="AT76" s="27">
        <v>5</v>
      </c>
      <c r="AU76" s="82">
        <v>0.47</v>
      </c>
      <c r="AV76" s="86" t="s">
        <v>41</v>
      </c>
      <c r="AW76" s="28">
        <v>0</v>
      </c>
      <c r="AX76" s="29">
        <f t="shared" si="39"/>
        <v>4.5</v>
      </c>
      <c r="AY76" s="30" t="str">
        <f t="shared" si="40"/>
        <v>Bench</v>
      </c>
      <c r="AZ76" s="30">
        <f t="shared" si="41"/>
        <v>4.833333333333333</v>
      </c>
      <c r="BA76" s="30" t="str">
        <f t="shared" si="42"/>
        <v>Bench</v>
      </c>
      <c r="BB76" s="30">
        <f t="shared" si="43"/>
        <v>4.833333333333333</v>
      </c>
      <c r="BC76" s="30" t="str">
        <f t="shared" si="44"/>
        <v>Bench</v>
      </c>
      <c r="BD76" s="107">
        <f t="shared" si="45"/>
        <v>4</v>
      </c>
      <c r="BE76" s="108">
        <f t="shared" si="46"/>
        <v>1.5</v>
      </c>
      <c r="BF76" s="27" t="str">
        <f t="shared" si="47"/>
        <v/>
      </c>
      <c r="BG76" s="27" t="str">
        <f t="shared" si="48"/>
        <v>Possible</v>
      </c>
      <c r="BH76" t="str">
        <f t="shared" si="49"/>
        <v>AA</v>
      </c>
      <c r="BI76">
        <f t="shared" si="50"/>
        <v>12</v>
      </c>
      <c r="BJ76">
        <f t="shared" si="51"/>
        <v>13</v>
      </c>
      <c r="BK76">
        <f t="shared" si="52"/>
        <v>0</v>
      </c>
      <c r="BL76">
        <f t="shared" si="53"/>
        <v>0</v>
      </c>
      <c r="BM76">
        <f t="shared" si="54"/>
        <v>-1</v>
      </c>
      <c r="BN76">
        <f t="shared" si="55"/>
        <v>-1</v>
      </c>
    </row>
    <row r="77" spans="1:66">
      <c r="A77" s="95" t="str">
        <f>IF(ISERROR(VLOOKUP(E77,CON!$C$53:$C$70,1,FALSE)),IF(ISERROR(VLOOKUP(E77,'PSP-AAA'!$C$51:$C$72,1,FALSE)),IF(ISERROR(VLOOKUP(E77,'NH-AA'!$C$51:$C$72,1,FALSE)),IF(ISERROR(VLOOKUP(E77,'CRG-A'!$C$51:$C$72,1,FALSE)),IF(ISERROR(VLOOKUP(E77,'PC-S A'!$C$51:$C$72,1,FALSE)),"","S A"),"A"),"AA"),"AAA"),"ML")</f>
        <v/>
      </c>
      <c r="C77" t="str">
        <f t="shared" si="38"/>
        <v>K</v>
      </c>
      <c r="D77" s="27" t="s">
        <v>108</v>
      </c>
      <c r="E77" s="27" t="s">
        <v>479</v>
      </c>
      <c r="F77" s="27" t="s">
        <v>370</v>
      </c>
      <c r="G77" s="27" t="s">
        <v>316</v>
      </c>
      <c r="H77" s="27">
        <v>22</v>
      </c>
      <c r="I77" s="27" t="s">
        <v>104</v>
      </c>
      <c r="J77" s="28" t="s">
        <v>104</v>
      </c>
      <c r="K77" s="27" t="s">
        <v>47</v>
      </c>
      <c r="L77" s="27" t="s">
        <v>47</v>
      </c>
      <c r="M77" s="27" t="s">
        <v>224</v>
      </c>
      <c r="N77" s="28" t="s">
        <v>225</v>
      </c>
      <c r="O77" s="27">
        <v>6</v>
      </c>
      <c r="P77" s="27">
        <v>4</v>
      </c>
      <c r="Q77" s="28">
        <v>2</v>
      </c>
      <c r="R77" s="27">
        <v>6</v>
      </c>
      <c r="S77" s="27">
        <v>4</v>
      </c>
      <c r="T77" s="28">
        <v>3</v>
      </c>
      <c r="U77" s="27">
        <v>7</v>
      </c>
      <c r="V77" s="27">
        <v>7</v>
      </c>
      <c r="W77" s="27">
        <v>5</v>
      </c>
      <c r="X77" s="27">
        <v>6</v>
      </c>
      <c r="Y77" s="27" t="s">
        <v>41</v>
      </c>
      <c r="Z77" s="27" t="s">
        <v>41</v>
      </c>
      <c r="AA77" s="27" t="s">
        <v>41</v>
      </c>
      <c r="AB77" s="27" t="s">
        <v>41</v>
      </c>
      <c r="AC77" s="27" t="s">
        <v>41</v>
      </c>
      <c r="AD77" s="27" t="s">
        <v>41</v>
      </c>
      <c r="AE77" s="27">
        <v>5</v>
      </c>
      <c r="AF77" s="27">
        <v>5</v>
      </c>
      <c r="AG77" s="27" t="s">
        <v>41</v>
      </c>
      <c r="AH77" s="27" t="s">
        <v>41</v>
      </c>
      <c r="AI77" s="27">
        <v>6</v>
      </c>
      <c r="AJ77" s="27">
        <v>6</v>
      </c>
      <c r="AK77" s="27" t="s">
        <v>41</v>
      </c>
      <c r="AL77" s="27" t="s">
        <v>41</v>
      </c>
      <c r="AM77" s="27" t="s">
        <v>41</v>
      </c>
      <c r="AN77" s="27" t="s">
        <v>41</v>
      </c>
      <c r="AO77" s="27" t="s">
        <v>41</v>
      </c>
      <c r="AP77" s="27" t="s">
        <v>41</v>
      </c>
      <c r="AQ77" s="27" t="s">
        <v>41</v>
      </c>
      <c r="AR77" s="28" t="s">
        <v>41</v>
      </c>
      <c r="AS77" s="27" t="s">
        <v>14</v>
      </c>
      <c r="AT77" s="27">
        <v>7</v>
      </c>
      <c r="AU77" s="82">
        <v>0.52</v>
      </c>
      <c r="AV77" s="86" t="s">
        <v>41</v>
      </c>
      <c r="AW77" s="28">
        <v>0</v>
      </c>
      <c r="AX77" s="29">
        <f t="shared" si="39"/>
        <v>4.5</v>
      </c>
      <c r="AY77" s="30" t="str">
        <f t="shared" si="40"/>
        <v>Bench</v>
      </c>
      <c r="AZ77" s="30">
        <f t="shared" si="41"/>
        <v>4.833333333333333</v>
      </c>
      <c r="BA77" s="30" t="str">
        <f t="shared" si="42"/>
        <v>Bench</v>
      </c>
      <c r="BB77" s="30">
        <f t="shared" si="43"/>
        <v>4.833333333333333</v>
      </c>
      <c r="BC77" s="30" t="str">
        <f t="shared" si="44"/>
        <v>Bench</v>
      </c>
      <c r="BD77" s="107">
        <f t="shared" si="45"/>
        <v>4</v>
      </c>
      <c r="BE77" s="108">
        <f t="shared" si="46"/>
        <v>2.5</v>
      </c>
      <c r="BF77" s="27" t="str">
        <f t="shared" si="47"/>
        <v/>
      </c>
      <c r="BG77" s="27" t="str">
        <f t="shared" si="48"/>
        <v>Possible</v>
      </c>
      <c r="BH77" t="str">
        <f t="shared" si="49"/>
        <v>AA</v>
      </c>
      <c r="BI77">
        <f t="shared" si="50"/>
        <v>12</v>
      </c>
      <c r="BJ77">
        <f t="shared" si="51"/>
        <v>13</v>
      </c>
      <c r="BK77">
        <f t="shared" si="52"/>
        <v>0</v>
      </c>
      <c r="BL77">
        <f t="shared" si="53"/>
        <v>0</v>
      </c>
      <c r="BM77">
        <f t="shared" si="54"/>
        <v>-1</v>
      </c>
      <c r="BN77">
        <f t="shared" si="55"/>
        <v>-1</v>
      </c>
    </row>
    <row r="78" spans="1:66" hidden="1">
      <c r="A78" s="95" t="str">
        <f>IF(ISERROR(VLOOKUP(E78,CON!$C$53:$C$70,1,FALSE)),IF(ISERROR(VLOOKUP(E78,'PSP-AAA'!$C$51:$C$72,1,FALSE)),IF(ISERROR(VLOOKUP(E78,'NH-AA'!$C$51:$C$72,1,FALSE)),IF(ISERROR(VLOOKUP(E78,'CRG-A'!$C$51:$C$72,1,FALSE)),IF(ISERROR(VLOOKUP(E78,'PC-S A'!$C$51:$C$72,1,FALSE)),"","S A"),"A"),"AA"),"AAA"),"ML")</f>
        <v/>
      </c>
      <c r="C78" t="str">
        <f t="shared" si="38"/>
        <v>T</v>
      </c>
      <c r="D78" s="27" t="s">
        <v>108</v>
      </c>
      <c r="E78" s="27" t="s">
        <v>393</v>
      </c>
      <c r="F78" s="27" t="s">
        <v>370</v>
      </c>
      <c r="G78" s="27" t="s">
        <v>316</v>
      </c>
      <c r="H78" s="27">
        <v>21</v>
      </c>
      <c r="I78" s="27" t="s">
        <v>104</v>
      </c>
      <c r="J78" s="28" t="s">
        <v>104</v>
      </c>
      <c r="K78" s="27" t="s">
        <v>47</v>
      </c>
      <c r="L78" s="27" t="s">
        <v>42</v>
      </c>
      <c r="M78" s="27" t="s">
        <v>226</v>
      </c>
      <c r="N78" s="28" t="s">
        <v>225</v>
      </c>
      <c r="O78" s="27">
        <v>5</v>
      </c>
      <c r="P78" s="27">
        <v>3</v>
      </c>
      <c r="Q78" s="28">
        <v>3</v>
      </c>
      <c r="R78" s="27">
        <v>5</v>
      </c>
      <c r="S78" s="27">
        <v>3</v>
      </c>
      <c r="T78" s="28">
        <v>6</v>
      </c>
      <c r="U78" s="27">
        <v>6</v>
      </c>
      <c r="V78" s="27">
        <v>6</v>
      </c>
      <c r="W78" s="27">
        <v>5</v>
      </c>
      <c r="X78" s="27">
        <v>5</v>
      </c>
      <c r="Y78" s="27">
        <v>3</v>
      </c>
      <c r="Z78" s="27">
        <v>3</v>
      </c>
      <c r="AA78" s="27" t="s">
        <v>41</v>
      </c>
      <c r="AB78" s="27" t="s">
        <v>41</v>
      </c>
      <c r="AC78" s="27" t="s">
        <v>41</v>
      </c>
      <c r="AD78" s="27" t="s">
        <v>41</v>
      </c>
      <c r="AE78" s="27">
        <v>5</v>
      </c>
      <c r="AF78" s="27">
        <v>5</v>
      </c>
      <c r="AG78" s="27" t="s">
        <v>41</v>
      </c>
      <c r="AH78" s="27" t="s">
        <v>41</v>
      </c>
      <c r="AI78" s="27">
        <v>5</v>
      </c>
      <c r="AJ78" s="27">
        <v>5</v>
      </c>
      <c r="AK78" s="27" t="s">
        <v>41</v>
      </c>
      <c r="AL78" s="27" t="s">
        <v>41</v>
      </c>
      <c r="AM78" s="27" t="s">
        <v>41</v>
      </c>
      <c r="AN78" s="27" t="s">
        <v>41</v>
      </c>
      <c r="AO78" s="27" t="s">
        <v>41</v>
      </c>
      <c r="AP78" s="27" t="s">
        <v>41</v>
      </c>
      <c r="AQ78" s="27" t="s">
        <v>41</v>
      </c>
      <c r="AR78" s="28" t="s">
        <v>41</v>
      </c>
      <c r="AS78" s="27" t="s">
        <v>242</v>
      </c>
      <c r="AT78" s="27">
        <v>10</v>
      </c>
      <c r="AU78" s="82">
        <v>0.34</v>
      </c>
      <c r="AV78" s="86" t="s">
        <v>41</v>
      </c>
      <c r="AW78" s="28">
        <v>0</v>
      </c>
      <c r="AX78" s="29">
        <f t="shared" si="39"/>
        <v>4.4166666666666661</v>
      </c>
      <c r="AY78" s="30" t="str">
        <f t="shared" si="40"/>
        <v>Bench</v>
      </c>
      <c r="AZ78" s="30">
        <f t="shared" si="41"/>
        <v>5.416666666666667</v>
      </c>
      <c r="BA78" s="30" t="str">
        <f t="shared" si="42"/>
        <v>Reg</v>
      </c>
      <c r="BB78" s="30">
        <f t="shared" si="43"/>
        <v>5.416666666666667</v>
      </c>
      <c r="BC78" s="30" t="str">
        <f t="shared" si="44"/>
        <v>Reg</v>
      </c>
      <c r="BD78" s="107">
        <f t="shared" si="45"/>
        <v>5</v>
      </c>
      <c r="BE78" s="108">
        <f t="shared" si="46"/>
        <v>1</v>
      </c>
      <c r="BF78" s="27" t="str">
        <f t="shared" si="47"/>
        <v/>
      </c>
      <c r="BG78" s="27" t="str">
        <f t="shared" si="48"/>
        <v>Possible</v>
      </c>
      <c r="BH78" t="str">
        <f t="shared" si="49"/>
        <v>A</v>
      </c>
      <c r="BI78">
        <f t="shared" si="50"/>
        <v>11</v>
      </c>
      <c r="BJ78">
        <f t="shared" si="51"/>
        <v>14</v>
      </c>
      <c r="BK78">
        <f t="shared" si="52"/>
        <v>0</v>
      </c>
      <c r="BL78">
        <f t="shared" si="53"/>
        <v>0</v>
      </c>
      <c r="BM78">
        <f t="shared" si="54"/>
        <v>-3</v>
      </c>
      <c r="BN78">
        <f t="shared" si="55"/>
        <v>-3</v>
      </c>
    </row>
    <row r="79" spans="1:66">
      <c r="A79" s="95" t="str">
        <f>IF(ISERROR(VLOOKUP(E79,CON!$C$53:$C$70,1,FALSE)),IF(ISERROR(VLOOKUP(E79,'PSP-AAA'!$C$51:$C$72,1,FALSE)),IF(ISERROR(VLOOKUP(E79,'NH-AA'!$C$51:$C$72,1,FALSE)),IF(ISERROR(VLOOKUP(E79,'CRG-A'!$C$51:$C$72,1,FALSE)),IF(ISERROR(VLOOKUP(E79,'PC-S A'!$C$51:$C$72,1,FALSE)),"","S A"),"A"),"AA"),"AAA"),"ML")</f>
        <v/>
      </c>
      <c r="C79" t="str">
        <f t="shared" si="38"/>
        <v>T</v>
      </c>
      <c r="D79" s="27" t="s">
        <v>107</v>
      </c>
      <c r="E79" s="27" t="s">
        <v>336</v>
      </c>
      <c r="F79" s="27" t="s">
        <v>373</v>
      </c>
      <c r="G79" s="27" t="s">
        <v>210</v>
      </c>
      <c r="H79" s="27">
        <v>26</v>
      </c>
      <c r="I79" s="27" t="s">
        <v>104</v>
      </c>
      <c r="J79" s="28" t="s">
        <v>104</v>
      </c>
      <c r="K79" s="27" t="s">
        <v>47</v>
      </c>
      <c r="L79" s="27" t="s">
        <v>42</v>
      </c>
      <c r="M79" s="27" t="s">
        <v>226</v>
      </c>
      <c r="N79" s="28" t="s">
        <v>223</v>
      </c>
      <c r="O79" s="27">
        <v>4</v>
      </c>
      <c r="P79" s="27">
        <v>6</v>
      </c>
      <c r="Q79" s="28">
        <v>3</v>
      </c>
      <c r="R79" s="27">
        <v>5</v>
      </c>
      <c r="S79" s="27">
        <v>6</v>
      </c>
      <c r="T79" s="28">
        <v>4</v>
      </c>
      <c r="U79" s="27">
        <v>5</v>
      </c>
      <c r="V79" s="27">
        <v>5</v>
      </c>
      <c r="W79" s="27">
        <v>4</v>
      </c>
      <c r="X79" s="27">
        <v>4</v>
      </c>
      <c r="Y79" s="27">
        <v>5</v>
      </c>
      <c r="Z79" s="27">
        <v>5</v>
      </c>
      <c r="AA79" s="27" t="s">
        <v>41</v>
      </c>
      <c r="AB79" s="27" t="s">
        <v>41</v>
      </c>
      <c r="AC79" s="27" t="s">
        <v>41</v>
      </c>
      <c r="AD79" s="27" t="s">
        <v>41</v>
      </c>
      <c r="AE79" s="27" t="s">
        <v>41</v>
      </c>
      <c r="AF79" s="27" t="s">
        <v>41</v>
      </c>
      <c r="AG79" s="27" t="s">
        <v>41</v>
      </c>
      <c r="AH79" s="27" t="s">
        <v>41</v>
      </c>
      <c r="AI79" s="27" t="s">
        <v>41</v>
      </c>
      <c r="AJ79" s="27" t="s">
        <v>41</v>
      </c>
      <c r="AK79" s="27" t="s">
        <v>41</v>
      </c>
      <c r="AL79" s="27" t="s">
        <v>41</v>
      </c>
      <c r="AM79" s="27" t="s">
        <v>41</v>
      </c>
      <c r="AN79" s="27" t="s">
        <v>41</v>
      </c>
      <c r="AO79" s="27" t="s">
        <v>41</v>
      </c>
      <c r="AP79" s="27" t="s">
        <v>41</v>
      </c>
      <c r="AQ79" s="27" t="s">
        <v>41</v>
      </c>
      <c r="AR79" s="28" t="s">
        <v>41</v>
      </c>
      <c r="AS79" s="27" t="s">
        <v>1</v>
      </c>
      <c r="AT79" s="27">
        <v>3</v>
      </c>
      <c r="AU79" s="82">
        <v>0.46</v>
      </c>
      <c r="AV79" s="86" t="s">
        <v>41</v>
      </c>
      <c r="AW79" s="28">
        <v>0</v>
      </c>
      <c r="AX79" s="29">
        <f t="shared" si="39"/>
        <v>4.333333333333333</v>
      </c>
      <c r="AY79" s="30" t="str">
        <f t="shared" si="40"/>
        <v>Bench</v>
      </c>
      <c r="AZ79" s="30">
        <f t="shared" si="41"/>
        <v>5</v>
      </c>
      <c r="BA79" s="30" t="str">
        <f t="shared" si="42"/>
        <v>Bench</v>
      </c>
      <c r="BB79" s="30">
        <f t="shared" si="43"/>
        <v>5</v>
      </c>
      <c r="BC79" s="30" t="str">
        <f t="shared" si="44"/>
        <v>Bench</v>
      </c>
      <c r="BD79" s="107">
        <f t="shared" si="45"/>
        <v>3</v>
      </c>
      <c r="BE79" s="108">
        <f t="shared" si="46"/>
        <v>0</v>
      </c>
      <c r="BF79" s="27" t="str">
        <f t="shared" si="47"/>
        <v/>
      </c>
      <c r="BG79" s="27" t="str">
        <f t="shared" si="48"/>
        <v>Possible</v>
      </c>
      <c r="BH79" t="str">
        <f t="shared" si="49"/>
        <v>AA</v>
      </c>
      <c r="BI79">
        <f t="shared" si="50"/>
        <v>13</v>
      </c>
      <c r="BJ79">
        <f t="shared" si="51"/>
        <v>15</v>
      </c>
      <c r="BK79">
        <f t="shared" si="52"/>
        <v>-1</v>
      </c>
      <c r="BL79">
        <f t="shared" si="53"/>
        <v>0</v>
      </c>
      <c r="BM79">
        <f t="shared" si="54"/>
        <v>-1</v>
      </c>
      <c r="BN79">
        <f t="shared" si="55"/>
        <v>-2</v>
      </c>
    </row>
    <row r="80" spans="1:66">
      <c r="A80" s="95" t="str">
        <f>IF(ISERROR(VLOOKUP(E80,CON!$C$53:$C$70,1,FALSE)),IF(ISERROR(VLOOKUP(E80,'PSP-AAA'!$C$51:$C$72,1,FALSE)),IF(ISERROR(VLOOKUP(E80,'NH-AA'!$C$51:$C$72,1,FALSE)),IF(ISERROR(VLOOKUP(E80,'CRG-A'!$C$51:$C$72,1,FALSE)),IF(ISERROR(VLOOKUP(E80,'PC-S A'!$C$51:$C$72,1,FALSE)),"","S A"),"A"),"AA"),"AAA"),"ML")</f>
        <v/>
      </c>
      <c r="C80" t="str">
        <f t="shared" si="38"/>
        <v>T</v>
      </c>
      <c r="D80" s="27" t="s">
        <v>107</v>
      </c>
      <c r="E80" s="27" t="s">
        <v>501</v>
      </c>
      <c r="F80" s="27" t="s">
        <v>372</v>
      </c>
      <c r="G80" s="27" t="s">
        <v>209</v>
      </c>
      <c r="H80" s="27">
        <v>24</v>
      </c>
      <c r="I80" s="27" t="s">
        <v>104</v>
      </c>
      <c r="J80" s="28" t="s">
        <v>104</v>
      </c>
      <c r="K80" s="27" t="s">
        <v>47</v>
      </c>
      <c r="L80" s="27" t="s">
        <v>47</v>
      </c>
      <c r="M80" s="27" t="s">
        <v>227</v>
      </c>
      <c r="N80" s="28" t="s">
        <v>223</v>
      </c>
      <c r="O80" s="27">
        <v>6</v>
      </c>
      <c r="P80" s="27">
        <v>4</v>
      </c>
      <c r="Q80" s="28">
        <v>2</v>
      </c>
      <c r="R80" s="27">
        <v>6</v>
      </c>
      <c r="S80" s="27">
        <v>4</v>
      </c>
      <c r="T80" s="28">
        <v>3</v>
      </c>
      <c r="U80" s="27">
        <v>6</v>
      </c>
      <c r="V80" s="27">
        <v>6</v>
      </c>
      <c r="W80" s="27" t="s">
        <v>41</v>
      </c>
      <c r="X80" s="27" t="s">
        <v>41</v>
      </c>
      <c r="Y80" s="27" t="s">
        <v>41</v>
      </c>
      <c r="Z80" s="27" t="s">
        <v>41</v>
      </c>
      <c r="AA80" s="27">
        <v>5</v>
      </c>
      <c r="AB80" s="27">
        <v>6</v>
      </c>
      <c r="AC80" s="27" t="s">
        <v>41</v>
      </c>
      <c r="AD80" s="27" t="s">
        <v>41</v>
      </c>
      <c r="AE80" s="27" t="s">
        <v>41</v>
      </c>
      <c r="AF80" s="27" t="s">
        <v>41</v>
      </c>
      <c r="AG80" s="27" t="s">
        <v>41</v>
      </c>
      <c r="AH80" s="27" t="s">
        <v>41</v>
      </c>
      <c r="AI80" s="27" t="s">
        <v>41</v>
      </c>
      <c r="AJ80" s="27" t="s">
        <v>41</v>
      </c>
      <c r="AK80" s="27" t="s">
        <v>41</v>
      </c>
      <c r="AL80" s="27" t="s">
        <v>41</v>
      </c>
      <c r="AM80" s="27" t="s">
        <v>41</v>
      </c>
      <c r="AN80" s="27" t="s">
        <v>41</v>
      </c>
      <c r="AO80" s="27" t="s">
        <v>41</v>
      </c>
      <c r="AP80" s="27" t="s">
        <v>41</v>
      </c>
      <c r="AQ80" s="27" t="s">
        <v>41</v>
      </c>
      <c r="AR80" s="28" t="s">
        <v>41</v>
      </c>
      <c r="AS80" s="27" t="s">
        <v>242</v>
      </c>
      <c r="AT80" s="27">
        <v>3</v>
      </c>
      <c r="AU80" s="82">
        <v>0.46</v>
      </c>
      <c r="AV80" s="86" t="s">
        <v>41</v>
      </c>
      <c r="AW80" s="28" t="s">
        <v>45</v>
      </c>
      <c r="AX80" s="29">
        <f t="shared" si="39"/>
        <v>4.25</v>
      </c>
      <c r="AY80" s="30" t="str">
        <f t="shared" si="40"/>
        <v>Bench</v>
      </c>
      <c r="AZ80" s="30">
        <f t="shared" si="41"/>
        <v>4.583333333333333</v>
      </c>
      <c r="BA80" s="30" t="str">
        <f t="shared" si="42"/>
        <v>Bench</v>
      </c>
      <c r="BB80" s="30">
        <f t="shared" si="43"/>
        <v>4.583333333333333</v>
      </c>
      <c r="BC80" s="30" t="str">
        <f t="shared" si="44"/>
        <v>Bench</v>
      </c>
      <c r="BD80" s="107">
        <f t="shared" si="45"/>
        <v>2</v>
      </c>
      <c r="BE80" s="108">
        <f t="shared" si="46"/>
        <v>1.5</v>
      </c>
      <c r="BF80" s="27" t="str">
        <f t="shared" si="47"/>
        <v/>
      </c>
      <c r="BG80" s="27" t="str">
        <f t="shared" si="48"/>
        <v>Possible</v>
      </c>
      <c r="BH80" t="str">
        <f t="shared" si="49"/>
        <v>AA</v>
      </c>
      <c r="BI80">
        <f t="shared" si="50"/>
        <v>12</v>
      </c>
      <c r="BJ80">
        <f t="shared" si="51"/>
        <v>13</v>
      </c>
      <c r="BK80">
        <f t="shared" si="52"/>
        <v>0</v>
      </c>
      <c r="BL80">
        <f t="shared" si="53"/>
        <v>0</v>
      </c>
      <c r="BM80">
        <f t="shared" si="54"/>
        <v>-1</v>
      </c>
      <c r="BN80">
        <f t="shared" si="55"/>
        <v>-1</v>
      </c>
    </row>
    <row r="81" spans="1:66" hidden="1">
      <c r="A81" s="95" t="str">
        <f>IF(ISERROR(VLOOKUP(E81,CON!$C$53:$C$70,1,FALSE)),IF(ISERROR(VLOOKUP(E81,'PSP-AAA'!$C$51:$C$72,1,FALSE)),IF(ISERROR(VLOOKUP(E81,'NH-AA'!$C$51:$C$72,1,FALSE)),IF(ISERROR(VLOOKUP(E81,'CRG-A'!$C$51:$C$72,1,FALSE)),IF(ISERROR(VLOOKUP(E81,'PC-S A'!$C$51:$C$72,1,FALSE)),"","S A"),"A"),"AA"),"AAA"),"ML")</f>
        <v/>
      </c>
      <c r="C81" t="str">
        <f t="shared" si="38"/>
        <v>T</v>
      </c>
      <c r="D81" s="27" t="s">
        <v>109</v>
      </c>
      <c r="E81" s="27" t="s">
        <v>532</v>
      </c>
      <c r="F81" s="27" t="s">
        <v>370</v>
      </c>
      <c r="G81" s="27" t="s">
        <v>316</v>
      </c>
      <c r="H81" s="27">
        <v>21</v>
      </c>
      <c r="I81" s="27" t="s">
        <v>103</v>
      </c>
      <c r="J81" s="28" t="s">
        <v>103</v>
      </c>
      <c r="K81" s="27" t="s">
        <v>47</v>
      </c>
      <c r="L81" s="27" t="s">
        <v>47</v>
      </c>
      <c r="M81" s="27" t="s">
        <v>227</v>
      </c>
      <c r="N81" s="28" t="s">
        <v>223</v>
      </c>
      <c r="O81" s="27">
        <v>4</v>
      </c>
      <c r="P81" s="27">
        <v>6</v>
      </c>
      <c r="Q81" s="28">
        <v>2</v>
      </c>
      <c r="R81" s="27">
        <v>4</v>
      </c>
      <c r="S81" s="27">
        <v>6</v>
      </c>
      <c r="T81" s="28">
        <v>4</v>
      </c>
      <c r="U81" s="27">
        <v>5</v>
      </c>
      <c r="V81" s="27">
        <v>5</v>
      </c>
      <c r="W81" s="27">
        <v>3</v>
      </c>
      <c r="X81" s="27">
        <v>3</v>
      </c>
      <c r="Y81" s="27">
        <v>2</v>
      </c>
      <c r="Z81" s="27">
        <v>2</v>
      </c>
      <c r="AA81" s="27" t="s">
        <v>41</v>
      </c>
      <c r="AB81" s="27" t="s">
        <v>41</v>
      </c>
      <c r="AC81" s="27" t="s">
        <v>41</v>
      </c>
      <c r="AD81" s="27" t="s">
        <v>41</v>
      </c>
      <c r="AE81" s="27" t="s">
        <v>41</v>
      </c>
      <c r="AF81" s="27" t="s">
        <v>41</v>
      </c>
      <c r="AG81" s="27" t="s">
        <v>41</v>
      </c>
      <c r="AH81" s="27" t="s">
        <v>41</v>
      </c>
      <c r="AI81" s="27" t="s">
        <v>41</v>
      </c>
      <c r="AJ81" s="27" t="s">
        <v>41</v>
      </c>
      <c r="AK81" s="27" t="s">
        <v>41</v>
      </c>
      <c r="AL81" s="27" t="s">
        <v>41</v>
      </c>
      <c r="AM81" s="27" t="s">
        <v>41</v>
      </c>
      <c r="AN81" s="27" t="s">
        <v>41</v>
      </c>
      <c r="AO81" s="27" t="s">
        <v>41</v>
      </c>
      <c r="AP81" s="27" t="s">
        <v>41</v>
      </c>
      <c r="AQ81" s="27" t="s">
        <v>41</v>
      </c>
      <c r="AR81" s="28" t="s">
        <v>41</v>
      </c>
      <c r="AS81" s="27" t="s">
        <v>2</v>
      </c>
      <c r="AT81" s="27">
        <v>1</v>
      </c>
      <c r="AU81" s="82">
        <v>0.5</v>
      </c>
      <c r="AV81" s="86" t="s">
        <v>41</v>
      </c>
      <c r="AW81" s="28">
        <v>0</v>
      </c>
      <c r="AX81" s="29">
        <f t="shared" si="39"/>
        <v>4</v>
      </c>
      <c r="AY81" s="30" t="str">
        <f t="shared" si="40"/>
        <v>Minors</v>
      </c>
      <c r="AZ81" s="30">
        <f t="shared" si="41"/>
        <v>4.666666666666667</v>
      </c>
      <c r="BA81" s="30" t="str">
        <f t="shared" si="42"/>
        <v>Bench</v>
      </c>
      <c r="BB81" s="30">
        <f t="shared" si="43"/>
        <v>4.666666666666667</v>
      </c>
      <c r="BC81" s="30" t="str">
        <f t="shared" si="44"/>
        <v>Bench</v>
      </c>
      <c r="BD81" s="107">
        <f t="shared" si="45"/>
        <v>3</v>
      </c>
      <c r="BE81" s="108">
        <f t="shared" si="46"/>
        <v>0</v>
      </c>
      <c r="BF81" s="27" t="str">
        <f t="shared" si="47"/>
        <v/>
      </c>
      <c r="BG81" s="27" t="str">
        <f t="shared" si="48"/>
        <v>Possible</v>
      </c>
      <c r="BH81" t="str">
        <f t="shared" si="49"/>
        <v>AA</v>
      </c>
      <c r="BI81">
        <f t="shared" si="50"/>
        <v>12</v>
      </c>
      <c r="BJ81">
        <f t="shared" si="51"/>
        <v>14</v>
      </c>
      <c r="BK81">
        <f t="shared" si="52"/>
        <v>0</v>
      </c>
      <c r="BL81">
        <f t="shared" si="53"/>
        <v>0</v>
      </c>
      <c r="BM81">
        <f t="shared" si="54"/>
        <v>-2</v>
      </c>
      <c r="BN81">
        <f t="shared" si="55"/>
        <v>-2</v>
      </c>
    </row>
    <row r="82" spans="1:66" hidden="1">
      <c r="A82" s="95" t="str">
        <f>IF(ISERROR(VLOOKUP(E82,CON!$C$53:$C$70,1,FALSE)),IF(ISERROR(VLOOKUP(E82,'PSP-AAA'!$C$51:$C$72,1,FALSE)),IF(ISERROR(VLOOKUP(E82,'NH-AA'!$C$51:$C$72,1,FALSE)),IF(ISERROR(VLOOKUP(E82,'CRG-A'!$C$51:$C$72,1,FALSE)),IF(ISERROR(VLOOKUP(E82,'PC-S A'!$C$51:$C$72,1,FALSE)),"","S A"),"A"),"AA"),"AAA"),"ML")</f>
        <v/>
      </c>
      <c r="C82" t="str">
        <f t="shared" si="38"/>
        <v>T</v>
      </c>
      <c r="D82" s="27" t="s">
        <v>107</v>
      </c>
      <c r="E82" s="27" t="s">
        <v>415</v>
      </c>
      <c r="F82" s="27" t="s">
        <v>370</v>
      </c>
      <c r="G82" s="27" t="s">
        <v>316</v>
      </c>
      <c r="H82" s="27">
        <v>20</v>
      </c>
      <c r="I82" s="27" t="s">
        <v>104</v>
      </c>
      <c r="J82" s="28" t="s">
        <v>104</v>
      </c>
      <c r="K82" s="27" t="s">
        <v>47</v>
      </c>
      <c r="L82" s="27" t="s">
        <v>47</v>
      </c>
      <c r="M82" s="27" t="s">
        <v>226</v>
      </c>
      <c r="N82" s="28" t="s">
        <v>223</v>
      </c>
      <c r="O82" s="27">
        <v>5</v>
      </c>
      <c r="P82" s="27">
        <v>4</v>
      </c>
      <c r="Q82" s="28">
        <v>2</v>
      </c>
      <c r="R82" s="27">
        <v>6</v>
      </c>
      <c r="S82" s="27">
        <v>4</v>
      </c>
      <c r="T82" s="28">
        <v>3</v>
      </c>
      <c r="U82" s="27">
        <v>6</v>
      </c>
      <c r="V82" s="27">
        <v>8</v>
      </c>
      <c r="W82" s="27" t="s">
        <v>41</v>
      </c>
      <c r="X82" s="27" t="s">
        <v>41</v>
      </c>
      <c r="Y82" s="27">
        <v>5</v>
      </c>
      <c r="Z82" s="27">
        <v>6</v>
      </c>
      <c r="AA82" s="27" t="s">
        <v>41</v>
      </c>
      <c r="AB82" s="27" t="s">
        <v>41</v>
      </c>
      <c r="AC82" s="27" t="s">
        <v>41</v>
      </c>
      <c r="AD82" s="27" t="s">
        <v>41</v>
      </c>
      <c r="AE82" s="27" t="s">
        <v>41</v>
      </c>
      <c r="AF82" s="27" t="s">
        <v>41</v>
      </c>
      <c r="AG82" s="27" t="s">
        <v>41</v>
      </c>
      <c r="AH82" s="27" t="s">
        <v>41</v>
      </c>
      <c r="AI82" s="27" t="s">
        <v>41</v>
      </c>
      <c r="AJ82" s="27" t="s">
        <v>41</v>
      </c>
      <c r="AK82" s="27" t="s">
        <v>41</v>
      </c>
      <c r="AL82" s="27" t="s">
        <v>41</v>
      </c>
      <c r="AM82" s="27" t="s">
        <v>41</v>
      </c>
      <c r="AN82" s="27" t="s">
        <v>41</v>
      </c>
      <c r="AO82" s="27" t="s">
        <v>41</v>
      </c>
      <c r="AP82" s="27" t="s">
        <v>41</v>
      </c>
      <c r="AQ82" s="27" t="s">
        <v>41</v>
      </c>
      <c r="AR82" s="28" t="s">
        <v>41</v>
      </c>
      <c r="AS82" s="27" t="s">
        <v>11</v>
      </c>
      <c r="AT82" s="27">
        <v>10</v>
      </c>
      <c r="AU82" s="82">
        <v>0.44</v>
      </c>
      <c r="AV82" s="86" t="s">
        <v>41</v>
      </c>
      <c r="AW82" s="28">
        <v>0</v>
      </c>
      <c r="AX82" s="29">
        <f t="shared" si="39"/>
        <v>3.9166666666666665</v>
      </c>
      <c r="AY82" s="30" t="str">
        <f t="shared" si="40"/>
        <v>Minors</v>
      </c>
      <c r="AZ82" s="30">
        <f t="shared" si="41"/>
        <v>4.583333333333333</v>
      </c>
      <c r="BA82" s="30" t="str">
        <f t="shared" si="42"/>
        <v>Bench</v>
      </c>
      <c r="BB82" s="30">
        <f t="shared" si="43"/>
        <v>4.583333333333333</v>
      </c>
      <c r="BC82" s="30" t="str">
        <f t="shared" si="44"/>
        <v>Bench</v>
      </c>
      <c r="BD82" s="107">
        <f t="shared" si="45"/>
        <v>2</v>
      </c>
      <c r="BE82" s="108">
        <f t="shared" si="46"/>
        <v>1.5</v>
      </c>
      <c r="BF82" s="27" t="str">
        <f t="shared" si="47"/>
        <v/>
      </c>
      <c r="BG82" s="27" t="str">
        <f t="shared" si="48"/>
        <v>Possible</v>
      </c>
      <c r="BH82" t="str">
        <f t="shared" si="49"/>
        <v>A</v>
      </c>
      <c r="BI82">
        <f t="shared" si="50"/>
        <v>11</v>
      </c>
      <c r="BJ82">
        <f t="shared" si="51"/>
        <v>13</v>
      </c>
      <c r="BK82">
        <f t="shared" si="52"/>
        <v>-1</v>
      </c>
      <c r="BL82">
        <f t="shared" si="53"/>
        <v>0</v>
      </c>
      <c r="BM82">
        <f t="shared" si="54"/>
        <v>-1</v>
      </c>
      <c r="BN82">
        <f t="shared" si="55"/>
        <v>-2</v>
      </c>
    </row>
    <row r="83" spans="1:66">
      <c r="A83" s="95" t="str">
        <f>IF(ISERROR(VLOOKUP(E83,CON!$C$53:$C$70,1,FALSE)),IF(ISERROR(VLOOKUP(E83,'PSP-AAA'!$C$51:$C$72,1,FALSE)),IF(ISERROR(VLOOKUP(E83,'NH-AA'!$C$51:$C$72,1,FALSE)),IF(ISERROR(VLOOKUP(E83,'CRG-A'!$C$51:$C$72,1,FALSE)),IF(ISERROR(VLOOKUP(E83,'PC-S A'!$C$51:$C$72,1,FALSE)),"","S A"),"A"),"AA"),"AAA"),"ML")</f>
        <v/>
      </c>
      <c r="C83" t="str">
        <f t="shared" si="38"/>
        <v>T</v>
      </c>
      <c r="D83" s="27" t="s">
        <v>107</v>
      </c>
      <c r="E83" s="27" t="s">
        <v>417</v>
      </c>
      <c r="F83" s="27" t="s">
        <v>373</v>
      </c>
      <c r="G83" s="27" t="s">
        <v>210</v>
      </c>
      <c r="H83" s="27">
        <v>23</v>
      </c>
      <c r="I83" s="27" t="s">
        <v>104</v>
      </c>
      <c r="J83" s="28" t="s">
        <v>103</v>
      </c>
      <c r="K83" s="27" t="s">
        <v>47</v>
      </c>
      <c r="L83" s="27" t="s">
        <v>47</v>
      </c>
      <c r="M83" s="27" t="s">
        <v>226</v>
      </c>
      <c r="N83" s="28" t="s">
        <v>226</v>
      </c>
      <c r="O83" s="27">
        <v>6</v>
      </c>
      <c r="P83" s="27">
        <v>3</v>
      </c>
      <c r="Q83" s="28">
        <v>2</v>
      </c>
      <c r="R83" s="27">
        <v>6</v>
      </c>
      <c r="S83" s="27">
        <v>3</v>
      </c>
      <c r="T83" s="28">
        <v>3</v>
      </c>
      <c r="U83" s="27">
        <v>8</v>
      </c>
      <c r="V83" s="27">
        <v>8</v>
      </c>
      <c r="W83" s="27" t="s">
        <v>41</v>
      </c>
      <c r="X83" s="27" t="s">
        <v>41</v>
      </c>
      <c r="Y83" s="27" t="s">
        <v>41</v>
      </c>
      <c r="Z83" s="27" t="s">
        <v>41</v>
      </c>
      <c r="AA83" s="27">
        <v>5</v>
      </c>
      <c r="AB83" s="27">
        <v>5</v>
      </c>
      <c r="AC83" s="27" t="s">
        <v>41</v>
      </c>
      <c r="AD83" s="27" t="s">
        <v>41</v>
      </c>
      <c r="AE83" s="27" t="s">
        <v>41</v>
      </c>
      <c r="AF83" s="27" t="s">
        <v>41</v>
      </c>
      <c r="AG83" s="27" t="s">
        <v>41</v>
      </c>
      <c r="AH83" s="27" t="s">
        <v>41</v>
      </c>
      <c r="AI83" s="27" t="s">
        <v>41</v>
      </c>
      <c r="AJ83" s="27" t="s">
        <v>41</v>
      </c>
      <c r="AK83" s="27" t="s">
        <v>41</v>
      </c>
      <c r="AL83" s="27" t="s">
        <v>41</v>
      </c>
      <c r="AM83" s="27" t="s">
        <v>41</v>
      </c>
      <c r="AN83" s="27" t="s">
        <v>41</v>
      </c>
      <c r="AO83" s="27" t="s">
        <v>41</v>
      </c>
      <c r="AP83" s="27" t="s">
        <v>41</v>
      </c>
      <c r="AQ83" s="27" t="s">
        <v>41</v>
      </c>
      <c r="AR83" s="28" t="s">
        <v>41</v>
      </c>
      <c r="AS83" s="27" t="s">
        <v>5</v>
      </c>
      <c r="AT83" s="27">
        <v>4</v>
      </c>
      <c r="AU83" s="82">
        <v>0.42</v>
      </c>
      <c r="AV83" s="86" t="s">
        <v>41</v>
      </c>
      <c r="AW83" s="28">
        <v>0</v>
      </c>
      <c r="AX83" s="29">
        <f t="shared" si="39"/>
        <v>3.9166666666666665</v>
      </c>
      <c r="AY83" s="30" t="str">
        <f t="shared" si="40"/>
        <v>Minors</v>
      </c>
      <c r="AZ83" s="30">
        <f t="shared" si="41"/>
        <v>4.25</v>
      </c>
      <c r="BA83" s="30" t="str">
        <f t="shared" si="42"/>
        <v>Bench</v>
      </c>
      <c r="BB83" s="30">
        <f t="shared" si="43"/>
        <v>4.25</v>
      </c>
      <c r="BC83" s="30" t="str">
        <f t="shared" si="44"/>
        <v>Bench</v>
      </c>
      <c r="BD83" s="107">
        <f t="shared" si="45"/>
        <v>2</v>
      </c>
      <c r="BE83" s="108">
        <f t="shared" si="46"/>
        <v>1</v>
      </c>
      <c r="BF83" s="27" t="str">
        <f t="shared" si="47"/>
        <v/>
      </c>
      <c r="BG83" s="27" t="str">
        <f t="shared" si="48"/>
        <v>Possible</v>
      </c>
      <c r="BH83" t="str">
        <f t="shared" si="49"/>
        <v>A</v>
      </c>
      <c r="BI83">
        <f t="shared" si="50"/>
        <v>11</v>
      </c>
      <c r="BJ83">
        <f t="shared" si="51"/>
        <v>12</v>
      </c>
      <c r="BK83">
        <f t="shared" si="52"/>
        <v>0</v>
      </c>
      <c r="BL83">
        <f t="shared" si="53"/>
        <v>0</v>
      </c>
      <c r="BM83">
        <f t="shared" si="54"/>
        <v>-1</v>
      </c>
      <c r="BN83">
        <f t="shared" si="55"/>
        <v>-1</v>
      </c>
    </row>
    <row r="84" spans="1:66">
      <c r="A84" s="95" t="str">
        <f>IF(ISERROR(VLOOKUP(E84,CON!$C$53:$C$70,1,FALSE)),IF(ISERROR(VLOOKUP(E84,'PSP-AAA'!$C$51:$C$72,1,FALSE)),IF(ISERROR(VLOOKUP(E84,'NH-AA'!$C$51:$C$72,1,FALSE)),IF(ISERROR(VLOOKUP(E84,'CRG-A'!$C$51:$C$72,1,FALSE)),IF(ISERROR(VLOOKUP(E84,'PC-S A'!$C$51:$C$72,1,FALSE)),"","S A"),"A"),"AA"),"AAA"),"ML")</f>
        <v/>
      </c>
      <c r="C84" t="str">
        <f t="shared" si="38"/>
        <v>K</v>
      </c>
      <c r="D84" s="27" t="s">
        <v>108</v>
      </c>
      <c r="E84" s="27" t="s">
        <v>390</v>
      </c>
      <c r="F84" s="27" t="s">
        <v>373</v>
      </c>
      <c r="G84" s="27" t="s">
        <v>210</v>
      </c>
      <c r="H84" s="27">
        <v>25</v>
      </c>
      <c r="I84" s="27" t="s">
        <v>106</v>
      </c>
      <c r="J84" s="28" t="s">
        <v>104</v>
      </c>
      <c r="K84" s="27" t="s">
        <v>47</v>
      </c>
      <c r="L84" s="27" t="s">
        <v>47</v>
      </c>
      <c r="M84" s="27" t="s">
        <v>224</v>
      </c>
      <c r="N84" s="28" t="s">
        <v>224</v>
      </c>
      <c r="O84" s="27">
        <v>4</v>
      </c>
      <c r="P84" s="27">
        <v>5</v>
      </c>
      <c r="Q84" s="28">
        <v>2</v>
      </c>
      <c r="R84" s="27">
        <v>4</v>
      </c>
      <c r="S84" s="27">
        <v>5</v>
      </c>
      <c r="T84" s="28">
        <v>3</v>
      </c>
      <c r="U84" s="27">
        <v>5</v>
      </c>
      <c r="V84" s="27">
        <v>5</v>
      </c>
      <c r="W84" s="27">
        <v>5</v>
      </c>
      <c r="X84" s="27">
        <v>5</v>
      </c>
      <c r="Y84" s="27">
        <v>2</v>
      </c>
      <c r="Z84" s="27">
        <v>2</v>
      </c>
      <c r="AA84" s="27" t="s">
        <v>41</v>
      </c>
      <c r="AB84" s="27" t="s">
        <v>41</v>
      </c>
      <c r="AC84" s="27" t="s">
        <v>41</v>
      </c>
      <c r="AD84" s="27" t="s">
        <v>41</v>
      </c>
      <c r="AE84" s="27" t="s">
        <v>41</v>
      </c>
      <c r="AF84" s="27" t="s">
        <v>41</v>
      </c>
      <c r="AG84" s="27" t="s">
        <v>41</v>
      </c>
      <c r="AH84" s="27" t="s">
        <v>41</v>
      </c>
      <c r="AI84" s="27">
        <v>5</v>
      </c>
      <c r="AJ84" s="27">
        <v>5</v>
      </c>
      <c r="AK84" s="27" t="s">
        <v>41</v>
      </c>
      <c r="AL84" s="27" t="s">
        <v>41</v>
      </c>
      <c r="AM84" s="27" t="s">
        <v>41</v>
      </c>
      <c r="AN84" s="27" t="s">
        <v>41</v>
      </c>
      <c r="AO84" s="27" t="s">
        <v>41</v>
      </c>
      <c r="AP84" s="27" t="s">
        <v>41</v>
      </c>
      <c r="AQ84" s="27" t="s">
        <v>41</v>
      </c>
      <c r="AR84" s="28" t="s">
        <v>41</v>
      </c>
      <c r="AS84" s="27" t="s">
        <v>2</v>
      </c>
      <c r="AT84" s="27">
        <v>9</v>
      </c>
      <c r="AU84" s="82">
        <v>0.55000000000000004</v>
      </c>
      <c r="AV84" s="86" t="s">
        <v>41</v>
      </c>
      <c r="AW84" s="28">
        <v>0</v>
      </c>
      <c r="AX84" s="29">
        <f t="shared" si="39"/>
        <v>3.9166666666666665</v>
      </c>
      <c r="AY84" s="30" t="str">
        <f t="shared" si="40"/>
        <v>Minors</v>
      </c>
      <c r="AZ84" s="30">
        <f t="shared" si="41"/>
        <v>4.25</v>
      </c>
      <c r="BA84" s="30" t="str">
        <f t="shared" si="42"/>
        <v>Bench</v>
      </c>
      <c r="BB84" s="30">
        <f t="shared" si="43"/>
        <v>4.25</v>
      </c>
      <c r="BC84" s="30" t="str">
        <f t="shared" si="44"/>
        <v>Bench</v>
      </c>
      <c r="BD84" s="107">
        <f t="shared" si="45"/>
        <v>4</v>
      </c>
      <c r="BE84" s="108">
        <f t="shared" si="46"/>
        <v>0</v>
      </c>
      <c r="BF84" s="27" t="str">
        <f t="shared" si="47"/>
        <v/>
      </c>
      <c r="BG84" s="27" t="str">
        <f t="shared" si="48"/>
        <v>Possible</v>
      </c>
      <c r="BH84" t="str">
        <f t="shared" si="49"/>
        <v>A</v>
      </c>
      <c r="BI84">
        <f t="shared" si="50"/>
        <v>11</v>
      </c>
      <c r="BJ84">
        <f t="shared" si="51"/>
        <v>12</v>
      </c>
      <c r="BK84">
        <f t="shared" si="52"/>
        <v>0</v>
      </c>
      <c r="BL84">
        <f t="shared" si="53"/>
        <v>0</v>
      </c>
      <c r="BM84">
        <f t="shared" si="54"/>
        <v>-1</v>
      </c>
      <c r="BN84">
        <f t="shared" si="55"/>
        <v>-1</v>
      </c>
    </row>
    <row r="85" spans="1:66" hidden="1">
      <c r="A85" s="95" t="str">
        <f>IF(ISERROR(VLOOKUP(E85,CON!$C$53:$C$70,1,FALSE)),IF(ISERROR(VLOOKUP(E85,'PSP-AAA'!$C$51:$C$72,1,FALSE)),IF(ISERROR(VLOOKUP(E85,'NH-AA'!$C$51:$C$72,1,FALSE)),IF(ISERROR(VLOOKUP(E85,'CRG-A'!$C$51:$C$72,1,FALSE)),IF(ISERROR(VLOOKUP(E85,'PC-S A'!$C$51:$C$72,1,FALSE)),"","S A"),"A"),"AA"),"AAA"),"ML")</f>
        <v/>
      </c>
      <c r="C85" t="str">
        <f t="shared" si="38"/>
        <v>K</v>
      </c>
      <c r="D85" s="27" t="s">
        <v>107</v>
      </c>
      <c r="E85" s="27" t="s">
        <v>519</v>
      </c>
      <c r="F85" s="27" t="s">
        <v>370</v>
      </c>
      <c r="G85" s="27" t="s">
        <v>316</v>
      </c>
      <c r="H85" s="27">
        <v>21</v>
      </c>
      <c r="I85" s="27" t="s">
        <v>103</v>
      </c>
      <c r="J85" s="28" t="s">
        <v>104</v>
      </c>
      <c r="K85" s="27" t="s">
        <v>47</v>
      </c>
      <c r="L85" s="27" t="s">
        <v>47</v>
      </c>
      <c r="M85" s="27" t="s">
        <v>223</v>
      </c>
      <c r="N85" s="28" t="s">
        <v>227</v>
      </c>
      <c r="O85" s="27">
        <v>5</v>
      </c>
      <c r="P85" s="27">
        <v>3</v>
      </c>
      <c r="Q85" s="28">
        <v>2</v>
      </c>
      <c r="R85" s="27">
        <v>6</v>
      </c>
      <c r="S85" s="27">
        <v>3</v>
      </c>
      <c r="T85" s="28">
        <v>4</v>
      </c>
      <c r="U85" s="27">
        <v>7</v>
      </c>
      <c r="V85" s="27">
        <v>7</v>
      </c>
      <c r="W85" s="27" t="s">
        <v>41</v>
      </c>
      <c r="X85" s="27" t="s">
        <v>41</v>
      </c>
      <c r="Y85" s="27">
        <v>4</v>
      </c>
      <c r="Z85" s="27">
        <v>6</v>
      </c>
      <c r="AA85" s="27" t="s">
        <v>41</v>
      </c>
      <c r="AB85" s="27" t="s">
        <v>41</v>
      </c>
      <c r="AC85" s="27" t="s">
        <v>41</v>
      </c>
      <c r="AD85" s="27" t="s">
        <v>41</v>
      </c>
      <c r="AE85" s="27" t="s">
        <v>41</v>
      </c>
      <c r="AF85" s="27" t="s">
        <v>41</v>
      </c>
      <c r="AG85" s="27" t="s">
        <v>41</v>
      </c>
      <c r="AH85" s="27" t="s">
        <v>41</v>
      </c>
      <c r="AI85" s="27" t="s">
        <v>41</v>
      </c>
      <c r="AJ85" s="27" t="s">
        <v>41</v>
      </c>
      <c r="AK85" s="27" t="s">
        <v>41</v>
      </c>
      <c r="AL85" s="27" t="s">
        <v>41</v>
      </c>
      <c r="AM85" s="27" t="s">
        <v>41</v>
      </c>
      <c r="AN85" s="27" t="s">
        <v>41</v>
      </c>
      <c r="AO85" s="27" t="s">
        <v>41</v>
      </c>
      <c r="AP85" s="27" t="s">
        <v>41</v>
      </c>
      <c r="AQ85" s="27" t="s">
        <v>41</v>
      </c>
      <c r="AR85" s="28" t="s">
        <v>41</v>
      </c>
      <c r="AS85" s="27" t="s">
        <v>15</v>
      </c>
      <c r="AT85" s="27">
        <v>2</v>
      </c>
      <c r="AU85" s="82">
        <v>0.36</v>
      </c>
      <c r="AV85" s="86" t="s">
        <v>41</v>
      </c>
      <c r="AW85" s="28" t="s">
        <v>45</v>
      </c>
      <c r="AX85" s="29">
        <f t="shared" si="39"/>
        <v>3.5833333333333335</v>
      </c>
      <c r="AY85" s="30" t="str">
        <f t="shared" si="40"/>
        <v>Minors</v>
      </c>
      <c r="AZ85" s="30">
        <f t="shared" si="41"/>
        <v>4.583333333333333</v>
      </c>
      <c r="BA85" s="30" t="str">
        <f t="shared" si="42"/>
        <v>Bench</v>
      </c>
      <c r="BB85" s="30">
        <f t="shared" si="43"/>
        <v>4.583333333333333</v>
      </c>
      <c r="BC85" s="30" t="str">
        <f t="shared" si="44"/>
        <v>Bench</v>
      </c>
      <c r="BD85" s="107">
        <f t="shared" si="45"/>
        <v>2</v>
      </c>
      <c r="BE85" s="108">
        <f t="shared" si="46"/>
        <v>1.5</v>
      </c>
      <c r="BF85" s="27" t="str">
        <f t="shared" si="47"/>
        <v/>
      </c>
      <c r="BG85" s="27" t="str">
        <f t="shared" si="48"/>
        <v>Possible</v>
      </c>
      <c r="BH85" t="str">
        <f t="shared" si="49"/>
        <v>SS-A</v>
      </c>
      <c r="BI85">
        <f t="shared" si="50"/>
        <v>10</v>
      </c>
      <c r="BJ85">
        <f t="shared" si="51"/>
        <v>13</v>
      </c>
      <c r="BK85">
        <f t="shared" si="52"/>
        <v>-1</v>
      </c>
      <c r="BL85">
        <f t="shared" si="53"/>
        <v>0</v>
      </c>
      <c r="BM85">
        <f t="shared" si="54"/>
        <v>-2</v>
      </c>
      <c r="BN85">
        <f t="shared" si="55"/>
        <v>-3</v>
      </c>
    </row>
    <row r="86" spans="1:66">
      <c r="A86" s="95" t="str">
        <f>IF(ISERROR(VLOOKUP(E86,CON!$C$53:$C$70,1,FALSE)),IF(ISERROR(VLOOKUP(E86,'PSP-AAA'!$C$51:$C$72,1,FALSE)),IF(ISERROR(VLOOKUP(E86,'NH-AA'!$C$51:$C$72,1,FALSE)),IF(ISERROR(VLOOKUP(E86,'CRG-A'!$C$51:$C$72,1,FALSE)),IF(ISERROR(VLOOKUP(E86,'PC-S A'!$C$51:$C$72,1,FALSE)),"","S A"),"A"),"AA"),"AAA"),"ML")</f>
        <v/>
      </c>
      <c r="C86" t="str">
        <f t="shared" si="38"/>
        <v>T</v>
      </c>
      <c r="D86" s="27" t="s">
        <v>108</v>
      </c>
      <c r="E86" s="27" t="s">
        <v>394</v>
      </c>
      <c r="F86" s="27" t="s">
        <v>373</v>
      </c>
      <c r="G86" s="27" t="s">
        <v>210</v>
      </c>
      <c r="H86" s="27">
        <v>22</v>
      </c>
      <c r="I86" s="27" t="s">
        <v>104</v>
      </c>
      <c r="J86" s="28" t="s">
        <v>104</v>
      </c>
      <c r="K86" s="27" t="s">
        <v>47</v>
      </c>
      <c r="L86" s="27" t="s">
        <v>47</v>
      </c>
      <c r="M86" s="27" t="s">
        <v>227</v>
      </c>
      <c r="N86" s="28" t="s">
        <v>223</v>
      </c>
      <c r="O86" s="27">
        <v>3</v>
      </c>
      <c r="P86" s="27">
        <v>3</v>
      </c>
      <c r="Q86" s="28">
        <v>4</v>
      </c>
      <c r="R86" s="27">
        <v>3</v>
      </c>
      <c r="S86" s="27">
        <v>4</v>
      </c>
      <c r="T86" s="28">
        <v>6</v>
      </c>
      <c r="U86" s="27">
        <v>4</v>
      </c>
      <c r="V86" s="27">
        <v>5</v>
      </c>
      <c r="W86" s="27">
        <v>3</v>
      </c>
      <c r="X86" s="27">
        <v>3</v>
      </c>
      <c r="Y86" s="27" t="s">
        <v>41</v>
      </c>
      <c r="Z86" s="27" t="s">
        <v>41</v>
      </c>
      <c r="AA86" s="27">
        <v>3</v>
      </c>
      <c r="AB86" s="27">
        <v>4</v>
      </c>
      <c r="AC86" s="27" t="s">
        <v>41</v>
      </c>
      <c r="AD86" s="27" t="s">
        <v>41</v>
      </c>
      <c r="AE86" s="27">
        <v>4</v>
      </c>
      <c r="AF86" s="27">
        <v>4</v>
      </c>
      <c r="AG86" s="27" t="s">
        <v>41</v>
      </c>
      <c r="AH86" s="27" t="s">
        <v>41</v>
      </c>
      <c r="AI86" s="27" t="s">
        <v>41</v>
      </c>
      <c r="AJ86" s="27" t="s">
        <v>41</v>
      </c>
      <c r="AK86" s="27" t="s">
        <v>41</v>
      </c>
      <c r="AL86" s="27" t="s">
        <v>41</v>
      </c>
      <c r="AM86" s="27" t="s">
        <v>41</v>
      </c>
      <c r="AN86" s="27" t="s">
        <v>41</v>
      </c>
      <c r="AO86" s="27" t="s">
        <v>41</v>
      </c>
      <c r="AP86" s="27" t="s">
        <v>41</v>
      </c>
      <c r="AQ86" s="27" t="s">
        <v>41</v>
      </c>
      <c r="AR86" s="28" t="s">
        <v>41</v>
      </c>
      <c r="AS86" s="27" t="s">
        <v>6</v>
      </c>
      <c r="AT86" s="27">
        <v>8</v>
      </c>
      <c r="AU86" s="82">
        <v>0.41</v>
      </c>
      <c r="AV86" s="86" t="s">
        <v>41</v>
      </c>
      <c r="AW86" s="28">
        <v>0</v>
      </c>
      <c r="AX86" s="29">
        <f t="shared" si="39"/>
        <v>3.5833333333333335</v>
      </c>
      <c r="AY86" s="30" t="str">
        <f t="shared" si="40"/>
        <v>Minors</v>
      </c>
      <c r="AZ86" s="30">
        <f t="shared" si="41"/>
        <v>4.583333333333333</v>
      </c>
      <c r="BA86" s="30" t="str">
        <f t="shared" si="42"/>
        <v>Bench</v>
      </c>
      <c r="BB86" s="30">
        <f t="shared" si="43"/>
        <v>4.583333333333333</v>
      </c>
      <c r="BC86" s="30" t="str">
        <f t="shared" si="44"/>
        <v>Bench</v>
      </c>
      <c r="BD86" s="107">
        <f t="shared" si="45"/>
        <v>4</v>
      </c>
      <c r="BE86" s="108">
        <f t="shared" si="46"/>
        <v>0</v>
      </c>
      <c r="BF86" s="27" t="str">
        <f t="shared" si="47"/>
        <v/>
      </c>
      <c r="BG86" s="27" t="str">
        <f t="shared" si="48"/>
        <v>Possible</v>
      </c>
      <c r="BH86" t="str">
        <f t="shared" si="49"/>
        <v>SS-A</v>
      </c>
      <c r="BI86">
        <f t="shared" si="50"/>
        <v>10</v>
      </c>
      <c r="BJ86">
        <f t="shared" si="51"/>
        <v>13</v>
      </c>
      <c r="BK86">
        <f t="shared" si="52"/>
        <v>0</v>
      </c>
      <c r="BL86">
        <f t="shared" si="53"/>
        <v>-1</v>
      </c>
      <c r="BM86">
        <f t="shared" si="54"/>
        <v>-2</v>
      </c>
      <c r="BN86">
        <f t="shared" si="55"/>
        <v>-3</v>
      </c>
    </row>
    <row r="87" spans="1:66" hidden="1">
      <c r="A87" s="95" t="str">
        <f>IF(ISERROR(VLOOKUP(E87,CON!$C$53:$C$70,1,FALSE)),IF(ISERROR(VLOOKUP(E87,'PSP-AAA'!$C$51:$C$72,1,FALSE)),IF(ISERROR(VLOOKUP(E87,'NH-AA'!$C$51:$C$72,1,FALSE)),IF(ISERROR(VLOOKUP(E87,'CRG-A'!$C$51:$C$72,1,FALSE)),IF(ISERROR(VLOOKUP(E87,'PC-S A'!$C$51:$C$72,1,FALSE)),"","S A"),"A"),"AA"),"AAA"),"ML")</f>
        <v/>
      </c>
      <c r="C87" t="str">
        <f t="shared" si="38"/>
        <v>T</v>
      </c>
      <c r="D87" s="27" t="s">
        <v>107</v>
      </c>
      <c r="E87" s="27" t="s">
        <v>416</v>
      </c>
      <c r="F87" s="27" t="s">
        <v>370</v>
      </c>
      <c r="G87" s="27" t="s">
        <v>316</v>
      </c>
      <c r="H87" s="27">
        <v>20</v>
      </c>
      <c r="I87" s="27" t="s">
        <v>103</v>
      </c>
      <c r="J87" s="28" t="s">
        <v>103</v>
      </c>
      <c r="K87" s="27" t="s">
        <v>47</v>
      </c>
      <c r="L87" s="27" t="s">
        <v>47</v>
      </c>
      <c r="M87" s="27" t="s">
        <v>227</v>
      </c>
      <c r="N87" s="28" t="s">
        <v>223</v>
      </c>
      <c r="O87" s="27">
        <v>6</v>
      </c>
      <c r="P87" s="27">
        <v>3</v>
      </c>
      <c r="Q87" s="28">
        <v>1</v>
      </c>
      <c r="R87" s="27">
        <v>7</v>
      </c>
      <c r="S87" s="27">
        <v>3</v>
      </c>
      <c r="T87" s="28">
        <v>2</v>
      </c>
      <c r="U87" s="27">
        <v>7</v>
      </c>
      <c r="V87" s="27">
        <v>7</v>
      </c>
      <c r="W87" s="27">
        <v>1</v>
      </c>
      <c r="X87" s="27">
        <v>2</v>
      </c>
      <c r="Y87" s="27">
        <v>4</v>
      </c>
      <c r="Z87" s="27">
        <v>5</v>
      </c>
      <c r="AA87" s="27" t="s">
        <v>41</v>
      </c>
      <c r="AB87" s="27" t="s">
        <v>41</v>
      </c>
      <c r="AC87" s="27" t="s">
        <v>41</v>
      </c>
      <c r="AD87" s="27" t="s">
        <v>41</v>
      </c>
      <c r="AE87" s="27" t="s">
        <v>41</v>
      </c>
      <c r="AF87" s="27" t="s">
        <v>41</v>
      </c>
      <c r="AG87" s="27" t="s">
        <v>41</v>
      </c>
      <c r="AH87" s="27" t="s">
        <v>41</v>
      </c>
      <c r="AI87" s="27" t="s">
        <v>41</v>
      </c>
      <c r="AJ87" s="27" t="s">
        <v>41</v>
      </c>
      <c r="AK87" s="27" t="s">
        <v>41</v>
      </c>
      <c r="AL87" s="27" t="s">
        <v>41</v>
      </c>
      <c r="AM87" s="27" t="s">
        <v>41</v>
      </c>
      <c r="AN87" s="27" t="s">
        <v>41</v>
      </c>
      <c r="AO87" s="27" t="s">
        <v>41</v>
      </c>
      <c r="AP87" s="27" t="s">
        <v>41</v>
      </c>
      <c r="AQ87" s="27" t="s">
        <v>41</v>
      </c>
      <c r="AR87" s="28" t="s">
        <v>41</v>
      </c>
      <c r="AS87" s="27" t="s">
        <v>402</v>
      </c>
      <c r="AT87" s="27">
        <v>10</v>
      </c>
      <c r="AU87" s="82">
        <v>0.38</v>
      </c>
      <c r="AV87" s="86" t="s">
        <v>41</v>
      </c>
      <c r="AW87" s="28">
        <v>0</v>
      </c>
      <c r="AX87" s="29">
        <f t="shared" si="39"/>
        <v>3.5833333333333335</v>
      </c>
      <c r="AY87" s="30" t="str">
        <f t="shared" si="40"/>
        <v>Minors</v>
      </c>
      <c r="AZ87" s="30">
        <f t="shared" si="41"/>
        <v>4.25</v>
      </c>
      <c r="BA87" s="30" t="str">
        <f t="shared" si="42"/>
        <v>Bench</v>
      </c>
      <c r="BB87" s="30">
        <f t="shared" si="43"/>
        <v>4.25</v>
      </c>
      <c r="BC87" s="30" t="str">
        <f t="shared" si="44"/>
        <v>Bench</v>
      </c>
      <c r="BD87" s="107">
        <f t="shared" si="45"/>
        <v>3</v>
      </c>
      <c r="BE87" s="108">
        <f t="shared" si="46"/>
        <v>1</v>
      </c>
      <c r="BF87" s="27" t="str">
        <f t="shared" si="47"/>
        <v/>
      </c>
      <c r="BG87" s="27" t="str">
        <f t="shared" si="48"/>
        <v>Possible</v>
      </c>
      <c r="BH87" t="str">
        <f t="shared" si="49"/>
        <v>SS-A</v>
      </c>
      <c r="BI87">
        <f t="shared" si="50"/>
        <v>10</v>
      </c>
      <c r="BJ87">
        <f t="shared" si="51"/>
        <v>12</v>
      </c>
      <c r="BK87">
        <f t="shared" si="52"/>
        <v>-1</v>
      </c>
      <c r="BL87">
        <f t="shared" si="53"/>
        <v>0</v>
      </c>
      <c r="BM87">
        <f t="shared" si="54"/>
        <v>-1</v>
      </c>
      <c r="BN87">
        <f t="shared" si="55"/>
        <v>-2</v>
      </c>
    </row>
    <row r="88" spans="1:66" hidden="1">
      <c r="A88" s="95" t="str">
        <f>IF(ISERROR(VLOOKUP(E88,CON!$C$53:$C$70,1,FALSE)),IF(ISERROR(VLOOKUP(E88,'PSP-AAA'!$C$51:$C$72,1,FALSE)),IF(ISERROR(VLOOKUP(E88,'NH-AA'!$C$51:$C$72,1,FALSE)),IF(ISERROR(VLOOKUP(E88,'CRG-A'!$C$51:$C$72,1,FALSE)),IF(ISERROR(VLOOKUP(E88,'PC-S A'!$C$51:$C$72,1,FALSE)),"","S A"),"A"),"AA"),"AAA"),"ML")</f>
        <v/>
      </c>
      <c r="C88" t="str">
        <f t="shared" si="38"/>
        <v>K</v>
      </c>
      <c r="D88" s="27" t="s">
        <v>107</v>
      </c>
      <c r="E88" s="27" t="s">
        <v>448</v>
      </c>
      <c r="F88" s="27" t="s">
        <v>370</v>
      </c>
      <c r="G88" s="27" t="s">
        <v>316</v>
      </c>
      <c r="H88" s="27">
        <v>21</v>
      </c>
      <c r="I88" s="27" t="s">
        <v>103</v>
      </c>
      <c r="J88" s="28" t="s">
        <v>103</v>
      </c>
      <c r="K88" s="27" t="s">
        <v>47</v>
      </c>
      <c r="L88" s="27" t="s">
        <v>47</v>
      </c>
      <c r="M88" s="27" t="s">
        <v>224</v>
      </c>
      <c r="N88" s="28" t="s">
        <v>226</v>
      </c>
      <c r="O88" s="27">
        <v>4</v>
      </c>
      <c r="P88" s="27">
        <v>5</v>
      </c>
      <c r="Q88" s="28">
        <v>1</v>
      </c>
      <c r="R88" s="27">
        <v>5</v>
      </c>
      <c r="S88" s="27">
        <v>5</v>
      </c>
      <c r="T88" s="28">
        <v>2</v>
      </c>
      <c r="U88" s="27">
        <v>6</v>
      </c>
      <c r="V88" s="27">
        <v>6</v>
      </c>
      <c r="W88" s="27" t="s">
        <v>41</v>
      </c>
      <c r="X88" s="27" t="s">
        <v>41</v>
      </c>
      <c r="Y88" s="27">
        <v>4</v>
      </c>
      <c r="Z88" s="27">
        <v>5</v>
      </c>
      <c r="AA88" s="27" t="s">
        <v>41</v>
      </c>
      <c r="AB88" s="27" t="s">
        <v>41</v>
      </c>
      <c r="AC88" s="27" t="s">
        <v>41</v>
      </c>
      <c r="AD88" s="27" t="s">
        <v>41</v>
      </c>
      <c r="AE88" s="27" t="s">
        <v>41</v>
      </c>
      <c r="AF88" s="27" t="s">
        <v>41</v>
      </c>
      <c r="AG88" s="27" t="s">
        <v>41</v>
      </c>
      <c r="AH88" s="27" t="s">
        <v>41</v>
      </c>
      <c r="AI88" s="27" t="s">
        <v>41</v>
      </c>
      <c r="AJ88" s="27" t="s">
        <v>41</v>
      </c>
      <c r="AK88" s="27" t="s">
        <v>41</v>
      </c>
      <c r="AL88" s="27" t="s">
        <v>41</v>
      </c>
      <c r="AM88" s="27" t="s">
        <v>41</v>
      </c>
      <c r="AN88" s="27" t="s">
        <v>41</v>
      </c>
      <c r="AO88" s="27">
        <v>4</v>
      </c>
      <c r="AP88" s="27">
        <v>5</v>
      </c>
      <c r="AQ88" s="27" t="s">
        <v>41</v>
      </c>
      <c r="AR88" s="28" t="s">
        <v>41</v>
      </c>
      <c r="AS88" s="27" t="s">
        <v>242</v>
      </c>
      <c r="AT88" s="27">
        <v>8</v>
      </c>
      <c r="AU88" s="82">
        <v>0.49</v>
      </c>
      <c r="AV88" s="86" t="s">
        <v>41</v>
      </c>
      <c r="AW88" s="28" t="s">
        <v>45</v>
      </c>
      <c r="AX88" s="29">
        <f t="shared" si="39"/>
        <v>3.5833333333333335</v>
      </c>
      <c r="AY88" s="30" t="str">
        <f t="shared" si="40"/>
        <v>Minors</v>
      </c>
      <c r="AZ88" s="30">
        <f t="shared" si="41"/>
        <v>4.25</v>
      </c>
      <c r="BA88" s="30" t="str">
        <f t="shared" si="42"/>
        <v>Bench</v>
      </c>
      <c r="BB88" s="30">
        <f t="shared" si="43"/>
        <v>4.25</v>
      </c>
      <c r="BC88" s="30" t="str">
        <f t="shared" si="44"/>
        <v>Bench</v>
      </c>
      <c r="BD88" s="107">
        <f t="shared" si="45"/>
        <v>3</v>
      </c>
      <c r="BE88" s="108">
        <f t="shared" si="46"/>
        <v>1</v>
      </c>
      <c r="BF88" s="27" t="str">
        <f t="shared" si="47"/>
        <v/>
      </c>
      <c r="BG88" s="27" t="str">
        <f t="shared" si="48"/>
        <v>Possible</v>
      </c>
      <c r="BH88" t="str">
        <f t="shared" si="49"/>
        <v>SS-A</v>
      </c>
      <c r="BI88">
        <f t="shared" si="50"/>
        <v>10</v>
      </c>
      <c r="BJ88">
        <f t="shared" si="51"/>
        <v>12</v>
      </c>
      <c r="BK88">
        <f t="shared" si="52"/>
        <v>-1</v>
      </c>
      <c r="BL88">
        <f t="shared" si="53"/>
        <v>0</v>
      </c>
      <c r="BM88">
        <f t="shared" si="54"/>
        <v>-1</v>
      </c>
      <c r="BN88">
        <f t="shared" si="55"/>
        <v>-2</v>
      </c>
    </row>
    <row r="89" spans="1:66">
      <c r="A89" s="95" t="str">
        <f>IF(ISERROR(VLOOKUP(E89,CON!$C$53:$C$70,1,FALSE)),IF(ISERROR(VLOOKUP(E89,'PSP-AAA'!$C$51:$C$72,1,FALSE)),IF(ISERROR(VLOOKUP(E89,'NH-AA'!$C$51:$C$72,1,FALSE)),IF(ISERROR(VLOOKUP(E89,'CRG-A'!$C$51:$C$72,1,FALSE)),IF(ISERROR(VLOOKUP(E89,'PC-S A'!$C$51:$C$72,1,FALSE)),"","S A"),"A"),"AA"),"AAA"),"ML")</f>
        <v/>
      </c>
      <c r="C89" t="str">
        <f t="shared" si="38"/>
        <v>K</v>
      </c>
      <c r="D89" s="27" t="s">
        <v>97</v>
      </c>
      <c r="E89" s="27" t="s">
        <v>525</v>
      </c>
      <c r="F89" s="27" t="s">
        <v>370</v>
      </c>
      <c r="G89" s="27" t="s">
        <v>316</v>
      </c>
      <c r="H89" s="27">
        <v>22</v>
      </c>
      <c r="I89" s="27" t="s">
        <v>104</v>
      </c>
      <c r="J89" s="28" t="s">
        <v>104</v>
      </c>
      <c r="K89" s="27" t="s">
        <v>47</v>
      </c>
      <c r="L89" s="27" t="s">
        <v>47</v>
      </c>
      <c r="M89" s="27" t="s">
        <v>223</v>
      </c>
      <c r="N89" s="28" t="s">
        <v>224</v>
      </c>
      <c r="O89" s="27">
        <v>3</v>
      </c>
      <c r="P89" s="27">
        <v>4</v>
      </c>
      <c r="Q89" s="28">
        <v>2</v>
      </c>
      <c r="R89" s="27">
        <v>3</v>
      </c>
      <c r="S89" s="27">
        <v>4</v>
      </c>
      <c r="T89" s="28">
        <v>3</v>
      </c>
      <c r="U89" s="27">
        <v>3</v>
      </c>
      <c r="V89" s="27">
        <v>3</v>
      </c>
      <c r="W89" s="27" t="s">
        <v>41</v>
      </c>
      <c r="X89" s="27" t="s">
        <v>41</v>
      </c>
      <c r="Y89" s="27">
        <v>3</v>
      </c>
      <c r="Z89" s="27">
        <v>3</v>
      </c>
      <c r="AA89" s="27" t="s">
        <v>41</v>
      </c>
      <c r="AB89" s="27" t="s">
        <v>41</v>
      </c>
      <c r="AC89" s="27" t="s">
        <v>41</v>
      </c>
      <c r="AD89" s="27" t="s">
        <v>41</v>
      </c>
      <c r="AE89" s="27" t="s">
        <v>41</v>
      </c>
      <c r="AF89" s="27" t="s">
        <v>41</v>
      </c>
      <c r="AG89" s="27" t="s">
        <v>41</v>
      </c>
      <c r="AH89" s="27" t="s">
        <v>41</v>
      </c>
      <c r="AI89" s="27" t="s">
        <v>41</v>
      </c>
      <c r="AJ89" s="27" t="s">
        <v>41</v>
      </c>
      <c r="AK89" s="27" t="s">
        <v>41</v>
      </c>
      <c r="AL89" s="27" t="s">
        <v>41</v>
      </c>
      <c r="AM89" s="27" t="s">
        <v>41</v>
      </c>
      <c r="AN89" s="27" t="s">
        <v>41</v>
      </c>
      <c r="AO89" s="27" t="s">
        <v>41</v>
      </c>
      <c r="AP89" s="27" t="s">
        <v>41</v>
      </c>
      <c r="AQ89" s="27" t="s">
        <v>41</v>
      </c>
      <c r="AR89" s="28" t="s">
        <v>41</v>
      </c>
      <c r="AS89" s="27" t="s">
        <v>593</v>
      </c>
      <c r="AT89" s="27">
        <v>1</v>
      </c>
      <c r="AU89" s="82">
        <v>0.46</v>
      </c>
      <c r="AV89" s="86" t="s">
        <v>41</v>
      </c>
      <c r="AW89" s="28">
        <v>0</v>
      </c>
      <c r="AX89" s="29">
        <f t="shared" si="39"/>
        <v>3</v>
      </c>
      <c r="AY89" s="30" t="str">
        <f t="shared" si="40"/>
        <v>Minors</v>
      </c>
      <c r="AZ89" s="30">
        <f t="shared" si="41"/>
        <v>3.3333333333333335</v>
      </c>
      <c r="BA89" s="30" t="str">
        <f t="shared" si="42"/>
        <v>Minors</v>
      </c>
      <c r="BB89" s="30">
        <f t="shared" si="43"/>
        <v>3.3333333333333335</v>
      </c>
      <c r="BC89" s="30" t="str">
        <f t="shared" si="44"/>
        <v>Minors</v>
      </c>
      <c r="BD89" s="107">
        <f t="shared" si="45"/>
        <v>2</v>
      </c>
      <c r="BE89" s="108">
        <f t="shared" si="46"/>
        <v>0</v>
      </c>
      <c r="BF89" s="27" t="str">
        <f t="shared" si="47"/>
        <v/>
      </c>
      <c r="BG89" s="27" t="str">
        <f t="shared" si="48"/>
        <v>Unlikely</v>
      </c>
      <c r="BH89" t="str">
        <f t="shared" si="49"/>
        <v>SS-A</v>
      </c>
      <c r="BI89">
        <f t="shared" si="50"/>
        <v>9</v>
      </c>
      <c r="BJ89">
        <f t="shared" si="51"/>
        <v>10</v>
      </c>
      <c r="BK89">
        <f t="shared" si="52"/>
        <v>0</v>
      </c>
      <c r="BL89">
        <f t="shared" si="53"/>
        <v>0</v>
      </c>
      <c r="BM89">
        <f t="shared" si="54"/>
        <v>-1</v>
      </c>
      <c r="BN89">
        <f t="shared" si="55"/>
        <v>-1</v>
      </c>
    </row>
    <row r="90" spans="1:66" hidden="1">
      <c r="A90" s="95" t="str">
        <f>IF(ISERROR(VLOOKUP(E90,CON!$C$53:$C$70,1,FALSE)),IF(ISERROR(VLOOKUP(E90,'PSP-AAA'!$C$51:$C$72,1,FALSE)),IF(ISERROR(VLOOKUP(E90,'NH-AA'!$C$51:$C$72,1,FALSE)),IF(ISERROR(VLOOKUP(E90,'CRG-A'!$C$51:$C$72,1,FALSE)),IF(ISERROR(VLOOKUP(E90,'PC-S A'!$C$51:$C$72,1,FALSE)),"","S A"),"A"),"AA"),"AAA"),"ML")</f>
        <v/>
      </c>
      <c r="C90" t="str">
        <f t="shared" si="38"/>
        <v>K</v>
      </c>
      <c r="D90" s="27" t="s">
        <v>107</v>
      </c>
      <c r="E90" s="27" t="s">
        <v>533</v>
      </c>
      <c r="F90" s="27" t="s">
        <v>370</v>
      </c>
      <c r="G90" s="27" t="s">
        <v>316</v>
      </c>
      <c r="H90" s="27">
        <v>18</v>
      </c>
      <c r="I90" s="27" t="s">
        <v>106</v>
      </c>
      <c r="J90" s="28" t="s">
        <v>104</v>
      </c>
      <c r="K90" s="27" t="s">
        <v>47</v>
      </c>
      <c r="L90" s="27" t="s">
        <v>47</v>
      </c>
      <c r="M90" s="27" t="s">
        <v>223</v>
      </c>
      <c r="N90" s="28" t="s">
        <v>226</v>
      </c>
      <c r="O90" s="27">
        <v>3</v>
      </c>
      <c r="P90" s="27">
        <v>4</v>
      </c>
      <c r="Q90" s="28">
        <v>1</v>
      </c>
      <c r="R90" s="27">
        <v>4</v>
      </c>
      <c r="S90" s="27">
        <v>4</v>
      </c>
      <c r="T90" s="28">
        <v>4</v>
      </c>
      <c r="U90" s="27">
        <v>3</v>
      </c>
      <c r="V90" s="27">
        <v>4</v>
      </c>
      <c r="W90" s="27">
        <v>1</v>
      </c>
      <c r="X90" s="27">
        <v>2</v>
      </c>
      <c r="Y90" s="27" t="s">
        <v>41</v>
      </c>
      <c r="Z90" s="27" t="s">
        <v>41</v>
      </c>
      <c r="AA90" s="27" t="s">
        <v>41</v>
      </c>
      <c r="AB90" s="27" t="s">
        <v>41</v>
      </c>
      <c r="AC90" s="27" t="s">
        <v>41</v>
      </c>
      <c r="AD90" s="27" t="s">
        <v>41</v>
      </c>
      <c r="AE90" s="27" t="s">
        <v>41</v>
      </c>
      <c r="AF90" s="27" t="s">
        <v>41</v>
      </c>
      <c r="AG90" s="27">
        <v>3</v>
      </c>
      <c r="AH90" s="27">
        <v>4</v>
      </c>
      <c r="AI90" s="27" t="s">
        <v>41</v>
      </c>
      <c r="AJ90" s="27" t="s">
        <v>41</v>
      </c>
      <c r="AK90" s="27" t="s">
        <v>41</v>
      </c>
      <c r="AL90" s="27" t="s">
        <v>41</v>
      </c>
      <c r="AM90" s="27" t="s">
        <v>41</v>
      </c>
      <c r="AN90" s="27" t="s">
        <v>41</v>
      </c>
      <c r="AO90" s="27" t="s">
        <v>41</v>
      </c>
      <c r="AP90" s="27" t="s">
        <v>41</v>
      </c>
      <c r="AQ90" s="27" t="s">
        <v>41</v>
      </c>
      <c r="AR90" s="28" t="s">
        <v>41</v>
      </c>
      <c r="AS90" s="27" t="s">
        <v>7</v>
      </c>
      <c r="AT90" s="27">
        <v>6</v>
      </c>
      <c r="AU90" s="82">
        <v>0.46</v>
      </c>
      <c r="AV90" s="86" t="s">
        <v>41</v>
      </c>
      <c r="AW90" s="28">
        <v>0</v>
      </c>
      <c r="AX90" s="29">
        <f t="shared" si="39"/>
        <v>2.6666666666666665</v>
      </c>
      <c r="AY90" s="30" t="str">
        <f t="shared" si="40"/>
        <v>Minors</v>
      </c>
      <c r="AZ90" s="30">
        <f t="shared" si="41"/>
        <v>4</v>
      </c>
      <c r="BA90" s="30" t="str">
        <f t="shared" si="42"/>
        <v>Minors</v>
      </c>
      <c r="BB90" s="30">
        <f t="shared" si="43"/>
        <v>4</v>
      </c>
      <c r="BC90" s="30" t="str">
        <f t="shared" si="44"/>
        <v>Minors</v>
      </c>
      <c r="BD90" s="107">
        <f t="shared" si="45"/>
        <v>3</v>
      </c>
      <c r="BE90" s="108">
        <f t="shared" si="46"/>
        <v>0</v>
      </c>
      <c r="BF90" s="27" t="str">
        <f t="shared" si="47"/>
        <v/>
      </c>
      <c r="BG90" s="27" t="str">
        <f t="shared" si="48"/>
        <v>Possible</v>
      </c>
      <c r="BH90" t="str">
        <f t="shared" si="49"/>
        <v>SS-A</v>
      </c>
      <c r="BI90">
        <f t="shared" si="50"/>
        <v>8</v>
      </c>
      <c r="BJ90">
        <f t="shared" si="51"/>
        <v>12</v>
      </c>
      <c r="BK90">
        <f t="shared" si="52"/>
        <v>-1</v>
      </c>
      <c r="BL90">
        <f t="shared" si="53"/>
        <v>0</v>
      </c>
      <c r="BM90">
        <f t="shared" si="54"/>
        <v>-3</v>
      </c>
      <c r="BN90">
        <f t="shared" si="55"/>
        <v>-4</v>
      </c>
    </row>
    <row r="91" spans="1:66" hidden="1">
      <c r="A91" s="95" t="str">
        <f>IF(ISERROR(VLOOKUP(E91,CON!$C$53:$C$70,1,FALSE)),IF(ISERROR(VLOOKUP(E91,'PSP-AAA'!$C$51:$C$72,1,FALSE)),IF(ISERROR(VLOOKUP(E91,'NH-AA'!$C$51:$C$72,1,FALSE)),IF(ISERROR(VLOOKUP(E91,'CRG-A'!$C$51:$C$72,1,FALSE)),IF(ISERROR(VLOOKUP(E91,'PC-S A'!$C$51:$C$72,1,FALSE)),"","S A"),"A"),"AA"),"AAA"),"ML")</f>
        <v/>
      </c>
      <c r="C91" t="str">
        <f t="shared" si="38"/>
        <v>T</v>
      </c>
      <c r="D91" s="27" t="s">
        <v>107</v>
      </c>
      <c r="E91" s="27" t="s">
        <v>534</v>
      </c>
      <c r="F91" s="27" t="s">
        <v>370</v>
      </c>
      <c r="G91" s="27" t="s">
        <v>316</v>
      </c>
      <c r="H91" s="27">
        <v>18</v>
      </c>
      <c r="I91" s="27" t="s">
        <v>106</v>
      </c>
      <c r="J91" s="28" t="s">
        <v>104</v>
      </c>
      <c r="K91" s="27" t="s">
        <v>47</v>
      </c>
      <c r="L91" s="27" t="s">
        <v>47</v>
      </c>
      <c r="M91" s="27" t="s">
        <v>227</v>
      </c>
      <c r="N91" s="28" t="s">
        <v>224</v>
      </c>
      <c r="O91" s="27">
        <v>3</v>
      </c>
      <c r="P91" s="27">
        <v>4</v>
      </c>
      <c r="Q91" s="28">
        <v>1</v>
      </c>
      <c r="R91" s="27">
        <v>3</v>
      </c>
      <c r="S91" s="27">
        <v>4</v>
      </c>
      <c r="T91" s="28">
        <v>4</v>
      </c>
      <c r="U91" s="27">
        <v>5</v>
      </c>
      <c r="V91" s="27">
        <v>5</v>
      </c>
      <c r="W91" s="27">
        <v>2</v>
      </c>
      <c r="X91" s="27">
        <v>3</v>
      </c>
      <c r="Y91" s="27" t="s">
        <v>41</v>
      </c>
      <c r="Z91" s="27" t="s">
        <v>41</v>
      </c>
      <c r="AA91" s="27">
        <v>3</v>
      </c>
      <c r="AB91" s="27">
        <v>3</v>
      </c>
      <c r="AC91" s="27" t="s">
        <v>41</v>
      </c>
      <c r="AD91" s="27" t="s">
        <v>41</v>
      </c>
      <c r="AE91" s="27" t="s">
        <v>41</v>
      </c>
      <c r="AF91" s="27" t="s">
        <v>41</v>
      </c>
      <c r="AG91" s="27" t="s">
        <v>41</v>
      </c>
      <c r="AH91" s="27" t="s">
        <v>41</v>
      </c>
      <c r="AI91" s="27" t="s">
        <v>41</v>
      </c>
      <c r="AJ91" s="27" t="s">
        <v>41</v>
      </c>
      <c r="AK91" s="27" t="s">
        <v>41</v>
      </c>
      <c r="AL91" s="27" t="s">
        <v>41</v>
      </c>
      <c r="AM91" s="27" t="s">
        <v>41</v>
      </c>
      <c r="AN91" s="27" t="s">
        <v>41</v>
      </c>
      <c r="AO91" s="27" t="s">
        <v>41</v>
      </c>
      <c r="AP91" s="27" t="s">
        <v>41</v>
      </c>
      <c r="AQ91" s="27" t="s">
        <v>41</v>
      </c>
      <c r="AR91" s="28" t="s">
        <v>41</v>
      </c>
      <c r="AS91" s="27" t="s">
        <v>11</v>
      </c>
      <c r="AT91" s="27">
        <v>3</v>
      </c>
      <c r="AU91" s="82">
        <v>0.52</v>
      </c>
      <c r="AV91" s="86" t="s">
        <v>41</v>
      </c>
      <c r="AW91" s="28">
        <v>0</v>
      </c>
      <c r="AX91" s="29">
        <f t="shared" si="39"/>
        <v>2.6666666666666665</v>
      </c>
      <c r="AY91" s="30" t="str">
        <f t="shared" si="40"/>
        <v>Minors</v>
      </c>
      <c r="AZ91" s="30">
        <f t="shared" si="41"/>
        <v>3.6666666666666665</v>
      </c>
      <c r="BA91" s="30" t="str">
        <f t="shared" si="42"/>
        <v>Minors</v>
      </c>
      <c r="BB91" s="30">
        <f t="shared" si="43"/>
        <v>3.6666666666666665</v>
      </c>
      <c r="BC91" s="30" t="str">
        <f t="shared" si="44"/>
        <v>Minors</v>
      </c>
      <c r="BD91" s="107">
        <f t="shared" si="45"/>
        <v>3</v>
      </c>
      <c r="BE91" s="108">
        <f t="shared" si="46"/>
        <v>0</v>
      </c>
      <c r="BF91" s="27" t="str">
        <f t="shared" si="47"/>
        <v/>
      </c>
      <c r="BG91" s="27" t="str">
        <f t="shared" si="48"/>
        <v>Unlikely</v>
      </c>
      <c r="BH91" t="str">
        <f t="shared" si="49"/>
        <v>SS-A</v>
      </c>
      <c r="BI91">
        <f t="shared" si="50"/>
        <v>8</v>
      </c>
      <c r="BJ91">
        <f t="shared" si="51"/>
        <v>11</v>
      </c>
      <c r="BK91">
        <f t="shared" si="52"/>
        <v>0</v>
      </c>
      <c r="BL91">
        <f t="shared" si="53"/>
        <v>0</v>
      </c>
      <c r="BM91">
        <f t="shared" si="54"/>
        <v>-3</v>
      </c>
      <c r="BN91">
        <f t="shared" si="55"/>
        <v>-3</v>
      </c>
    </row>
    <row r="92" spans="1:66" hidden="1">
      <c r="A92" s="95" t="str">
        <f>IF(ISERROR(VLOOKUP(E92,CON!$C$53:$C$70,1,FALSE)),IF(ISERROR(VLOOKUP(E92,'PSP-AAA'!$C$51:$C$72,1,FALSE)),IF(ISERROR(VLOOKUP(E92,'NH-AA'!$C$51:$C$72,1,FALSE)),IF(ISERROR(VLOOKUP(E92,'CRG-A'!$C$51:$C$72,1,FALSE)),IF(ISERROR(VLOOKUP(E92,'PC-S A'!$C$51:$C$72,1,FALSE)),"","S A"),"A"),"AA"),"AAA"),"ML")</f>
        <v/>
      </c>
      <c r="C92" t="str">
        <f t="shared" si="38"/>
        <v>T</v>
      </c>
      <c r="D92" s="27" t="s">
        <v>98</v>
      </c>
      <c r="E92" s="27" t="s">
        <v>464</v>
      </c>
      <c r="F92" s="27" t="s">
        <v>370</v>
      </c>
      <c r="G92" s="27" t="s">
        <v>316</v>
      </c>
      <c r="H92" s="27">
        <v>19</v>
      </c>
      <c r="I92" s="27" t="s">
        <v>104</v>
      </c>
      <c r="J92" s="28" t="s">
        <v>104</v>
      </c>
      <c r="K92" s="27" t="s">
        <v>47</v>
      </c>
      <c r="L92" s="27" t="s">
        <v>47</v>
      </c>
      <c r="M92" s="27" t="s">
        <v>226</v>
      </c>
      <c r="N92" s="28" t="s">
        <v>223</v>
      </c>
      <c r="O92" s="27">
        <v>2</v>
      </c>
      <c r="P92" s="27">
        <v>3</v>
      </c>
      <c r="Q92" s="28">
        <v>1</v>
      </c>
      <c r="R92" s="27">
        <v>2</v>
      </c>
      <c r="S92" s="27">
        <v>3</v>
      </c>
      <c r="T92" s="28">
        <v>3</v>
      </c>
      <c r="U92" s="27">
        <v>2</v>
      </c>
      <c r="V92" s="27">
        <v>2</v>
      </c>
      <c r="W92" s="27" t="s">
        <v>41</v>
      </c>
      <c r="X92" s="27" t="s">
        <v>41</v>
      </c>
      <c r="Y92" s="27" t="s">
        <v>41</v>
      </c>
      <c r="Z92" s="27" t="s">
        <v>41</v>
      </c>
      <c r="AA92" s="27">
        <v>2</v>
      </c>
      <c r="AB92" s="27">
        <v>3</v>
      </c>
      <c r="AC92" s="27" t="s">
        <v>41</v>
      </c>
      <c r="AD92" s="27" t="s">
        <v>41</v>
      </c>
      <c r="AE92" s="27" t="s">
        <v>41</v>
      </c>
      <c r="AF92" s="27" t="s">
        <v>41</v>
      </c>
      <c r="AG92" s="27" t="s">
        <v>41</v>
      </c>
      <c r="AH92" s="27" t="s">
        <v>41</v>
      </c>
      <c r="AI92" s="27" t="s">
        <v>41</v>
      </c>
      <c r="AJ92" s="27" t="s">
        <v>41</v>
      </c>
      <c r="AK92" s="27" t="s">
        <v>41</v>
      </c>
      <c r="AL92" s="27" t="s">
        <v>41</v>
      </c>
      <c r="AM92" s="27" t="s">
        <v>41</v>
      </c>
      <c r="AN92" s="27" t="s">
        <v>41</v>
      </c>
      <c r="AO92" s="27" t="s">
        <v>41</v>
      </c>
      <c r="AP92" s="27" t="s">
        <v>41</v>
      </c>
      <c r="AQ92" s="27" t="s">
        <v>41</v>
      </c>
      <c r="AR92" s="28" t="s">
        <v>41</v>
      </c>
      <c r="AS92" s="27" t="s">
        <v>412</v>
      </c>
      <c r="AT92" s="27">
        <v>9</v>
      </c>
      <c r="AU92" s="82">
        <v>0.42</v>
      </c>
      <c r="AV92" s="86" t="s">
        <v>41</v>
      </c>
      <c r="AW92" s="28">
        <v>0</v>
      </c>
      <c r="AX92" s="29">
        <f t="shared" si="39"/>
        <v>2</v>
      </c>
      <c r="AY92" s="30" t="str">
        <f t="shared" si="40"/>
        <v>Minors</v>
      </c>
      <c r="AZ92" s="30">
        <f t="shared" si="41"/>
        <v>2.6666666666666665</v>
      </c>
      <c r="BA92" s="30" t="str">
        <f t="shared" si="42"/>
        <v>Minors</v>
      </c>
      <c r="BB92" s="30">
        <f t="shared" si="43"/>
        <v>2.6666666666666665</v>
      </c>
      <c r="BC92" s="30" t="str">
        <f t="shared" si="44"/>
        <v>Minors</v>
      </c>
      <c r="BD92" s="107">
        <f t="shared" si="45"/>
        <v>2</v>
      </c>
      <c r="BE92" s="108">
        <f t="shared" si="46"/>
        <v>0</v>
      </c>
      <c r="BF92" s="27" t="str">
        <f t="shared" si="47"/>
        <v/>
      </c>
      <c r="BG92" s="27" t="str">
        <f t="shared" si="48"/>
        <v>Unlikely</v>
      </c>
      <c r="BH92" t="str">
        <f t="shared" si="49"/>
        <v>SS-A</v>
      </c>
      <c r="BI92">
        <f t="shared" si="50"/>
        <v>6</v>
      </c>
      <c r="BJ92">
        <f t="shared" si="51"/>
        <v>8</v>
      </c>
      <c r="BK92">
        <f t="shared" si="52"/>
        <v>0</v>
      </c>
      <c r="BL92">
        <f t="shared" si="53"/>
        <v>0</v>
      </c>
      <c r="BM92">
        <f t="shared" si="54"/>
        <v>-2</v>
      </c>
      <c r="BN92">
        <f t="shared" si="55"/>
        <v>-2</v>
      </c>
    </row>
    <row r="93" spans="1:66">
      <c r="A93" s="95"/>
      <c r="D93" s="27"/>
      <c r="E93" s="27"/>
      <c r="F93" s="27"/>
      <c r="G93" s="27"/>
      <c r="H93" s="27"/>
      <c r="I93" s="27"/>
      <c r="J93" s="28"/>
      <c r="K93" s="27"/>
      <c r="L93" s="27"/>
      <c r="M93" s="27"/>
      <c r="N93" s="28"/>
      <c r="O93" s="27"/>
      <c r="P93" s="27"/>
      <c r="Q93" s="28"/>
      <c r="R93" s="27"/>
      <c r="S93" s="27"/>
      <c r="T93" s="28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27"/>
      <c r="AT93" s="27"/>
      <c r="AU93" s="82"/>
      <c r="AV93" s="86"/>
      <c r="AW93" s="28"/>
      <c r="AX93" s="29"/>
      <c r="AY93" s="30"/>
      <c r="AZ93" s="30"/>
      <c r="BA93" s="30"/>
      <c r="BB93" s="30"/>
      <c r="BC93" s="30"/>
      <c r="BD93" s="107"/>
      <c r="BE93" s="108"/>
      <c r="BF93" s="27"/>
    </row>
    <row r="94" spans="1:66">
      <c r="A94" s="95"/>
      <c r="D94" s="27"/>
      <c r="E94" s="27"/>
      <c r="F94" s="27"/>
      <c r="G94" s="27"/>
      <c r="H94" s="27"/>
      <c r="I94" s="27"/>
      <c r="J94" s="28"/>
      <c r="K94" s="27"/>
      <c r="L94" s="27"/>
      <c r="M94" s="27"/>
      <c r="N94" s="28"/>
      <c r="O94" s="27"/>
      <c r="P94" s="27"/>
      <c r="Q94" s="28"/>
      <c r="R94" s="27"/>
      <c r="S94" s="27"/>
      <c r="T94" s="28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8"/>
      <c r="AS94" s="27"/>
      <c r="AT94" s="27"/>
      <c r="AU94" s="82"/>
      <c r="AV94" s="86"/>
      <c r="AW94" s="28"/>
      <c r="AX94" s="29"/>
      <c r="AY94" s="30"/>
      <c r="AZ94" s="30"/>
      <c r="BA94" s="30"/>
      <c r="BB94" s="30"/>
      <c r="BC94" s="30"/>
      <c r="BD94" s="107"/>
      <c r="BE94" s="108"/>
      <c r="BF94" s="27"/>
    </row>
    <row r="95" spans="1:66">
      <c r="A95" s="95"/>
      <c r="D95" s="27"/>
      <c r="E95" s="27"/>
      <c r="F95" s="27"/>
      <c r="G95" s="27"/>
      <c r="H95" s="27"/>
      <c r="I95" s="27"/>
      <c r="J95" s="28"/>
      <c r="K95" s="27"/>
      <c r="L95" s="27"/>
      <c r="M95" s="27"/>
      <c r="N95" s="28"/>
      <c r="O95" s="27"/>
      <c r="P95" s="27"/>
      <c r="Q95" s="28"/>
      <c r="R95" s="27"/>
      <c r="S95" s="27"/>
      <c r="T95" s="28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8"/>
      <c r="AS95" s="27"/>
      <c r="AT95" s="27"/>
      <c r="AU95" s="82"/>
      <c r="AV95" s="86"/>
      <c r="AW95" s="28"/>
      <c r="AX95" s="29"/>
      <c r="AY95" s="30"/>
      <c r="AZ95" s="30"/>
      <c r="BA95" s="30"/>
      <c r="BB95" s="30"/>
      <c r="BC95" s="30"/>
      <c r="BD95" s="107"/>
      <c r="BE95" s="108"/>
      <c r="BF95" s="27"/>
    </row>
    <row r="96" spans="1:66">
      <c r="A96" s="95"/>
      <c r="D96" s="27"/>
      <c r="E96" s="27"/>
      <c r="F96" s="27"/>
      <c r="G96" s="27"/>
      <c r="H96" s="27"/>
      <c r="I96" s="27"/>
      <c r="J96" s="28"/>
      <c r="K96" s="27"/>
      <c r="L96" s="27"/>
      <c r="M96" s="27"/>
      <c r="N96" s="28"/>
      <c r="O96" s="27"/>
      <c r="P96" s="27"/>
      <c r="Q96" s="28"/>
      <c r="R96" s="27"/>
      <c r="S96" s="27"/>
      <c r="T96" s="28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82"/>
      <c r="AV96" s="86"/>
      <c r="AW96" s="28"/>
      <c r="AX96" s="29"/>
      <c r="AY96" s="30"/>
      <c r="AZ96" s="30"/>
      <c r="BA96" s="30"/>
      <c r="BB96" s="30"/>
      <c r="BC96" s="30"/>
      <c r="BD96" s="107"/>
      <c r="BE96" s="108"/>
      <c r="BF96" s="27"/>
    </row>
    <row r="97" spans="1:58">
      <c r="A97" s="95"/>
      <c r="D97" s="27"/>
      <c r="E97" s="27"/>
      <c r="F97" s="27"/>
      <c r="G97" s="27"/>
      <c r="H97" s="27"/>
      <c r="I97" s="27"/>
      <c r="J97" s="28"/>
      <c r="K97" s="27"/>
      <c r="L97" s="27"/>
      <c r="M97" s="27"/>
      <c r="N97" s="28"/>
      <c r="O97" s="27"/>
      <c r="P97" s="27"/>
      <c r="Q97" s="28"/>
      <c r="R97" s="27"/>
      <c r="S97" s="27"/>
      <c r="T97" s="28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8"/>
      <c r="AS97" s="27"/>
      <c r="AT97" s="27"/>
      <c r="AU97" s="82"/>
      <c r="AV97" s="86"/>
      <c r="AW97" s="28"/>
      <c r="AX97" s="29"/>
      <c r="AY97" s="30"/>
      <c r="AZ97" s="30"/>
      <c r="BA97" s="30"/>
      <c r="BB97" s="30"/>
      <c r="BC97" s="30"/>
      <c r="BD97" s="107"/>
      <c r="BE97" s="108"/>
      <c r="BF97" s="27"/>
    </row>
    <row r="98" spans="1:58">
      <c r="A98" s="95"/>
      <c r="D98" s="27"/>
      <c r="E98" s="27"/>
      <c r="F98" s="27"/>
      <c r="G98" s="27"/>
      <c r="H98" s="27"/>
      <c r="I98" s="27"/>
      <c r="J98" s="28"/>
      <c r="K98" s="27"/>
      <c r="L98" s="27"/>
      <c r="M98" s="27"/>
      <c r="N98" s="28"/>
      <c r="O98" s="27"/>
      <c r="P98" s="27"/>
      <c r="Q98" s="28"/>
      <c r="R98" s="27"/>
      <c r="S98" s="27"/>
      <c r="T98" s="28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8"/>
      <c r="AS98" s="27"/>
      <c r="AT98" s="27"/>
      <c r="AU98" s="82"/>
      <c r="AV98" s="86"/>
      <c r="AW98" s="28"/>
      <c r="AX98" s="29"/>
      <c r="AY98" s="30"/>
      <c r="AZ98" s="30"/>
      <c r="BA98" s="30"/>
      <c r="BB98" s="30"/>
      <c r="BC98" s="30"/>
      <c r="BD98" s="107"/>
      <c r="BE98" s="108"/>
      <c r="BF98" s="27"/>
    </row>
    <row r="99" spans="1:58">
      <c r="A99" s="95"/>
      <c r="D99" s="27"/>
      <c r="E99" s="27"/>
      <c r="F99" s="27"/>
      <c r="G99" s="27"/>
      <c r="H99" s="27"/>
      <c r="I99" s="27"/>
      <c r="J99" s="28"/>
      <c r="K99" s="27"/>
      <c r="L99" s="27"/>
      <c r="M99" s="27"/>
      <c r="N99" s="28"/>
      <c r="O99" s="27"/>
      <c r="P99" s="27"/>
      <c r="Q99" s="28"/>
      <c r="R99" s="27"/>
      <c r="S99" s="27"/>
      <c r="T99" s="28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8"/>
      <c r="AS99" s="27"/>
      <c r="AT99" s="27"/>
      <c r="AU99" s="82"/>
      <c r="AV99" s="86"/>
      <c r="AW99" s="28"/>
      <c r="AX99" s="29"/>
      <c r="AY99" s="30"/>
      <c r="AZ99" s="30"/>
      <c r="BA99" s="30"/>
      <c r="BB99" s="30"/>
      <c r="BC99" s="30"/>
      <c r="BD99" s="107"/>
      <c r="BE99" s="108"/>
      <c r="BF99" s="27"/>
    </row>
    <row r="100" spans="1:58">
      <c r="A100" s="95"/>
      <c r="D100" s="27"/>
      <c r="E100" s="27"/>
      <c r="F100" s="27"/>
      <c r="G100" s="27"/>
      <c r="H100" s="27"/>
      <c r="I100" s="27"/>
      <c r="J100" s="28"/>
      <c r="K100" s="27"/>
      <c r="L100" s="27"/>
      <c r="M100" s="27"/>
      <c r="N100" s="28"/>
      <c r="O100" s="27"/>
      <c r="P100" s="27"/>
      <c r="Q100" s="28"/>
      <c r="R100" s="27"/>
      <c r="S100" s="27"/>
      <c r="T100" s="28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8"/>
      <c r="AS100" s="27"/>
      <c r="AT100" s="27"/>
      <c r="AU100" s="82"/>
      <c r="AV100" s="86"/>
      <c r="AW100" s="28"/>
      <c r="AX100" s="29"/>
      <c r="AY100" s="30"/>
      <c r="AZ100" s="30"/>
      <c r="BA100" s="30"/>
      <c r="BB100" s="30"/>
      <c r="BC100" s="30"/>
      <c r="BD100" s="107"/>
      <c r="BE100" s="108"/>
      <c r="BF100" s="27"/>
    </row>
    <row r="101" spans="1:58">
      <c r="A101" s="95"/>
      <c r="D101" s="27"/>
      <c r="E101" s="27"/>
      <c r="F101" s="27"/>
      <c r="G101" s="27"/>
      <c r="H101" s="27"/>
      <c r="I101" s="27"/>
      <c r="J101" s="28"/>
      <c r="K101" s="27"/>
      <c r="L101" s="27"/>
      <c r="M101" s="27"/>
      <c r="N101" s="28"/>
      <c r="O101" s="27"/>
      <c r="P101" s="27"/>
      <c r="Q101" s="28"/>
      <c r="R101" s="27"/>
      <c r="S101" s="27"/>
      <c r="T101" s="28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8"/>
      <c r="AS101" s="27"/>
      <c r="AT101" s="27"/>
      <c r="AU101" s="82"/>
      <c r="AV101" s="86"/>
      <c r="AW101" s="28"/>
      <c r="AX101" s="29"/>
      <c r="AY101" s="30"/>
      <c r="AZ101" s="30"/>
      <c r="BA101" s="30"/>
      <c r="BB101" s="30"/>
      <c r="BC101" s="30"/>
      <c r="BD101" s="107"/>
      <c r="BE101" s="108"/>
      <c r="BF101" s="27"/>
    </row>
    <row r="102" spans="1:58">
      <c r="A102" s="95"/>
      <c r="D102" s="27"/>
      <c r="E102" s="27"/>
      <c r="F102" s="27"/>
      <c r="G102" s="27"/>
      <c r="H102" s="27"/>
      <c r="I102" s="27"/>
      <c r="J102" s="28"/>
      <c r="K102" s="27"/>
      <c r="L102" s="27"/>
      <c r="M102" s="27"/>
      <c r="N102" s="28"/>
      <c r="O102" s="27"/>
      <c r="P102" s="27"/>
      <c r="Q102" s="28"/>
      <c r="R102" s="27"/>
      <c r="S102" s="27"/>
      <c r="T102" s="28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8"/>
      <c r="AS102" s="27"/>
      <c r="AT102" s="27"/>
      <c r="AU102" s="82"/>
      <c r="AV102" s="86"/>
      <c r="AW102" s="28"/>
      <c r="AX102" s="29"/>
      <c r="AY102" s="30"/>
      <c r="AZ102" s="30"/>
      <c r="BA102" s="30"/>
      <c r="BB102" s="30"/>
      <c r="BC102" s="30"/>
      <c r="BD102" s="107"/>
      <c r="BE102" s="108"/>
      <c r="BF102" s="27"/>
    </row>
    <row r="103" spans="1:58">
      <c r="A103" s="95"/>
      <c r="D103" s="27"/>
      <c r="E103" s="27"/>
      <c r="F103" s="27"/>
      <c r="G103" s="27"/>
      <c r="H103" s="27"/>
      <c r="I103" s="27"/>
      <c r="J103" s="28"/>
      <c r="K103" s="27"/>
      <c r="L103" s="27"/>
      <c r="M103" s="27"/>
      <c r="N103" s="28"/>
      <c r="O103" s="27"/>
      <c r="P103" s="27"/>
      <c r="Q103" s="28"/>
      <c r="R103" s="27"/>
      <c r="S103" s="27"/>
      <c r="T103" s="28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8"/>
      <c r="AS103" s="27"/>
      <c r="AT103" s="27"/>
      <c r="AU103" s="82"/>
      <c r="AV103" s="86"/>
      <c r="AW103" s="28"/>
      <c r="AX103" s="29"/>
      <c r="AY103" s="30"/>
      <c r="AZ103" s="30"/>
      <c r="BA103" s="30"/>
      <c r="BB103" s="30"/>
      <c r="BC103" s="30"/>
      <c r="BD103" s="107"/>
      <c r="BE103" s="108"/>
      <c r="BF103" s="27"/>
    </row>
    <row r="104" spans="1:58">
      <c r="A104" s="95"/>
      <c r="D104" s="27"/>
      <c r="E104" s="27"/>
      <c r="F104" s="27"/>
      <c r="G104" s="27"/>
      <c r="H104" s="27"/>
      <c r="I104" s="27"/>
      <c r="J104" s="28"/>
      <c r="K104" s="27"/>
      <c r="L104" s="27"/>
      <c r="M104" s="27"/>
      <c r="N104" s="28"/>
      <c r="O104" s="27"/>
      <c r="P104" s="27"/>
      <c r="Q104" s="28"/>
      <c r="R104" s="27"/>
      <c r="S104" s="27"/>
      <c r="T104" s="28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8"/>
      <c r="AS104" s="27"/>
      <c r="AT104" s="27"/>
      <c r="AU104" s="82"/>
      <c r="AV104" s="86"/>
      <c r="AW104" s="28"/>
      <c r="AX104" s="29"/>
      <c r="AY104" s="30"/>
      <c r="AZ104" s="30"/>
      <c r="BA104" s="30"/>
      <c r="BB104" s="30"/>
      <c r="BC104" s="30"/>
      <c r="BD104" s="107"/>
      <c r="BE104" s="108"/>
      <c r="BF104" s="27"/>
    </row>
    <row r="105" spans="1:58">
      <c r="A105" s="95"/>
      <c r="D105" s="27"/>
      <c r="E105" s="27"/>
      <c r="F105" s="27"/>
      <c r="G105" s="27"/>
      <c r="H105" s="27"/>
      <c r="I105" s="27"/>
      <c r="J105" s="28"/>
      <c r="K105" s="27"/>
      <c r="L105" s="27"/>
      <c r="M105" s="27"/>
      <c r="N105" s="28"/>
      <c r="O105" s="27"/>
      <c r="P105" s="27"/>
      <c r="Q105" s="28"/>
      <c r="R105" s="27"/>
      <c r="S105" s="27"/>
      <c r="T105" s="28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8"/>
      <c r="AS105" s="27"/>
      <c r="AT105" s="27"/>
      <c r="AU105" s="82"/>
      <c r="AV105" s="86"/>
      <c r="AW105" s="28"/>
      <c r="AX105" s="29"/>
      <c r="AY105" s="30"/>
      <c r="AZ105" s="30"/>
      <c r="BA105" s="30"/>
      <c r="BB105" s="30"/>
      <c r="BC105" s="30"/>
      <c r="BD105" s="107"/>
      <c r="BE105" s="108"/>
      <c r="BF105" s="27"/>
    </row>
    <row r="106" spans="1:58">
      <c r="A106" s="95"/>
      <c r="D106" s="27"/>
      <c r="E106" s="27"/>
      <c r="F106" s="27"/>
      <c r="G106" s="27"/>
      <c r="H106" s="27"/>
      <c r="I106" s="27"/>
      <c r="J106" s="28"/>
      <c r="K106" s="27"/>
      <c r="L106" s="27"/>
      <c r="M106" s="27"/>
      <c r="N106" s="28"/>
      <c r="O106" s="27"/>
      <c r="P106" s="27"/>
      <c r="Q106" s="28"/>
      <c r="R106" s="27"/>
      <c r="S106" s="27"/>
      <c r="T106" s="28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8"/>
      <c r="AS106" s="27"/>
      <c r="AT106" s="27"/>
      <c r="AU106" s="82"/>
      <c r="AV106" s="86"/>
      <c r="AW106" s="28"/>
      <c r="AX106" s="29"/>
      <c r="AY106" s="30"/>
      <c r="AZ106" s="30"/>
      <c r="BA106" s="30"/>
      <c r="BB106" s="30"/>
      <c r="BC106" s="30"/>
      <c r="BD106" s="107"/>
      <c r="BE106" s="108"/>
      <c r="BF106" s="27"/>
    </row>
    <row r="107" spans="1:58">
      <c r="A107" s="95"/>
      <c r="D107" s="27"/>
      <c r="E107" s="27"/>
      <c r="F107" s="27"/>
      <c r="G107" s="27"/>
      <c r="H107" s="27"/>
      <c r="I107" s="27"/>
      <c r="J107" s="28"/>
      <c r="K107" s="27"/>
      <c r="L107" s="27"/>
      <c r="M107" s="27"/>
      <c r="N107" s="28"/>
      <c r="O107" s="27"/>
      <c r="P107" s="27"/>
      <c r="Q107" s="28"/>
      <c r="R107" s="27"/>
      <c r="S107" s="27"/>
      <c r="T107" s="28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8"/>
      <c r="AS107" s="27"/>
      <c r="AT107" s="27"/>
      <c r="AU107" s="82"/>
      <c r="AV107" s="86"/>
      <c r="AW107" s="28"/>
      <c r="AX107" s="29"/>
      <c r="AY107" s="30"/>
      <c r="AZ107" s="30"/>
      <c r="BA107" s="30"/>
      <c r="BB107" s="30"/>
      <c r="BC107" s="30"/>
      <c r="BD107" s="107"/>
      <c r="BE107" s="108"/>
      <c r="BF107" s="27"/>
    </row>
    <row r="108" spans="1:58">
      <c r="A108" s="95"/>
      <c r="D108" s="27"/>
      <c r="E108" s="27"/>
      <c r="F108" s="27"/>
      <c r="G108" s="27"/>
      <c r="H108" s="27"/>
      <c r="I108" s="27"/>
      <c r="J108" s="28"/>
      <c r="K108" s="27"/>
      <c r="L108" s="27"/>
      <c r="M108" s="27"/>
      <c r="N108" s="28"/>
      <c r="O108" s="27"/>
      <c r="P108" s="27"/>
      <c r="Q108" s="28"/>
      <c r="R108" s="27"/>
      <c r="S108" s="27"/>
      <c r="T108" s="28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8"/>
      <c r="AS108" s="27"/>
      <c r="AT108" s="27"/>
      <c r="AU108" s="82"/>
      <c r="AV108" s="86"/>
      <c r="AW108" s="28"/>
      <c r="AX108" s="29"/>
      <c r="AY108" s="30"/>
      <c r="AZ108" s="30"/>
      <c r="BA108" s="30"/>
      <c r="BB108" s="30"/>
      <c r="BC108" s="30"/>
      <c r="BD108" s="107"/>
      <c r="BE108" s="108"/>
      <c r="BF108" s="27"/>
    </row>
    <row r="109" spans="1:58">
      <c r="A109" s="95"/>
      <c r="D109" s="27"/>
      <c r="E109" s="27"/>
      <c r="F109" s="27"/>
      <c r="G109" s="27"/>
      <c r="H109" s="27"/>
      <c r="I109" s="27"/>
      <c r="J109" s="28"/>
      <c r="K109" s="27"/>
      <c r="L109" s="27"/>
      <c r="M109" s="27"/>
      <c r="N109" s="28"/>
      <c r="O109" s="27"/>
      <c r="P109" s="27"/>
      <c r="Q109" s="28"/>
      <c r="R109" s="27"/>
      <c r="S109" s="27"/>
      <c r="T109" s="28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8"/>
      <c r="AS109" s="27"/>
      <c r="AT109" s="27"/>
      <c r="AU109" s="82"/>
      <c r="AV109" s="86"/>
      <c r="AW109" s="28"/>
      <c r="AX109" s="29"/>
      <c r="AY109" s="30"/>
      <c r="AZ109" s="30"/>
      <c r="BA109" s="30"/>
      <c r="BB109" s="30"/>
      <c r="BC109" s="30"/>
      <c r="BD109" s="107"/>
      <c r="BE109" s="108"/>
      <c r="BF109" s="27"/>
    </row>
    <row r="110" spans="1:58">
      <c r="A110" s="95"/>
      <c r="D110" s="27"/>
      <c r="E110" s="27"/>
      <c r="F110" s="27"/>
      <c r="G110" s="27"/>
      <c r="H110" s="27"/>
      <c r="I110" s="27"/>
      <c r="J110" s="28"/>
      <c r="K110" s="27"/>
      <c r="L110" s="27"/>
      <c r="M110" s="27"/>
      <c r="N110" s="28"/>
      <c r="O110" s="27"/>
      <c r="P110" s="27"/>
      <c r="Q110" s="28"/>
      <c r="R110" s="27"/>
      <c r="S110" s="27"/>
      <c r="T110" s="28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8"/>
      <c r="AS110" s="27"/>
      <c r="AT110" s="27"/>
      <c r="AU110" s="82"/>
      <c r="AV110" s="86"/>
      <c r="AW110" s="28"/>
      <c r="AX110" s="29"/>
      <c r="AY110" s="30"/>
      <c r="AZ110" s="30"/>
      <c r="BA110" s="30"/>
      <c r="BB110" s="30"/>
      <c r="BC110" s="30"/>
      <c r="BD110" s="107"/>
      <c r="BE110" s="108"/>
      <c r="BF110" s="27"/>
    </row>
    <row r="111" spans="1:58">
      <c r="A111" s="95"/>
      <c r="D111" s="27"/>
      <c r="E111" s="27"/>
      <c r="F111" s="27"/>
      <c r="G111" s="27"/>
      <c r="H111" s="27"/>
      <c r="I111" s="27"/>
      <c r="J111" s="28"/>
      <c r="K111" s="27"/>
      <c r="L111" s="27"/>
      <c r="M111" s="27"/>
      <c r="N111" s="28"/>
      <c r="O111" s="27"/>
      <c r="P111" s="27"/>
      <c r="Q111" s="28"/>
      <c r="R111" s="27"/>
      <c r="S111" s="27"/>
      <c r="T111" s="28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8"/>
      <c r="AS111" s="27"/>
      <c r="AT111" s="27"/>
      <c r="AU111" s="82"/>
      <c r="AV111" s="86"/>
      <c r="AW111" s="28"/>
      <c r="AX111" s="29"/>
      <c r="AY111" s="30"/>
      <c r="AZ111" s="30"/>
      <c r="BA111" s="30"/>
      <c r="BB111" s="30"/>
      <c r="BC111" s="30"/>
      <c r="BD111" s="107"/>
      <c r="BE111" s="108"/>
      <c r="BF111" s="27"/>
    </row>
    <row r="112" spans="1:58">
      <c r="A112" s="95"/>
      <c r="D112" s="27"/>
      <c r="E112" s="27"/>
      <c r="F112" s="27"/>
      <c r="G112" s="27"/>
      <c r="H112" s="27"/>
      <c r="I112" s="27"/>
      <c r="J112" s="28"/>
      <c r="K112" s="27"/>
      <c r="L112" s="27"/>
      <c r="M112" s="27"/>
      <c r="N112" s="28"/>
      <c r="O112" s="27"/>
      <c r="P112" s="27"/>
      <c r="Q112" s="28"/>
      <c r="R112" s="27"/>
      <c r="S112" s="27"/>
      <c r="T112" s="28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8"/>
      <c r="AS112" s="27"/>
      <c r="AT112" s="27"/>
      <c r="AU112" s="82"/>
      <c r="AV112" s="86"/>
      <c r="AW112" s="28"/>
      <c r="AX112" s="29"/>
      <c r="AY112" s="30"/>
      <c r="AZ112" s="30"/>
      <c r="BA112" s="30"/>
      <c r="BB112" s="30"/>
      <c r="BC112" s="30"/>
      <c r="BD112" s="107"/>
      <c r="BE112" s="108"/>
      <c r="BF112" s="27"/>
    </row>
    <row r="113" spans="1:58">
      <c r="A113" s="95"/>
      <c r="D113" s="27"/>
      <c r="E113" s="27"/>
      <c r="F113" s="27"/>
      <c r="G113" s="27"/>
      <c r="H113" s="27"/>
      <c r="I113" s="27"/>
      <c r="J113" s="28"/>
      <c r="K113" s="27"/>
      <c r="L113" s="27"/>
      <c r="M113" s="27"/>
      <c r="N113" s="28"/>
      <c r="O113" s="27"/>
      <c r="P113" s="27"/>
      <c r="Q113" s="28"/>
      <c r="R113" s="27"/>
      <c r="S113" s="27"/>
      <c r="T113" s="28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28"/>
      <c r="AS113" s="27"/>
      <c r="AT113" s="27"/>
      <c r="AU113" s="82"/>
      <c r="AV113" s="86"/>
      <c r="AW113" s="28"/>
      <c r="AX113" s="29"/>
      <c r="AY113" s="30"/>
      <c r="AZ113" s="30"/>
      <c r="BA113" s="30"/>
      <c r="BB113" s="30"/>
      <c r="BC113" s="30"/>
      <c r="BD113" s="107"/>
      <c r="BE113" s="108"/>
      <c r="BF113" s="27"/>
    </row>
    <row r="114" spans="1:58">
      <c r="A114" s="95"/>
      <c r="D114" s="27"/>
      <c r="E114" s="27"/>
      <c r="F114" s="27"/>
      <c r="G114" s="27"/>
      <c r="H114" s="27"/>
      <c r="I114" s="27"/>
      <c r="J114" s="28"/>
      <c r="K114" s="27"/>
      <c r="L114" s="27"/>
      <c r="M114" s="27"/>
      <c r="N114" s="28"/>
      <c r="O114" s="27"/>
      <c r="P114" s="27"/>
      <c r="Q114" s="28"/>
      <c r="R114" s="27"/>
      <c r="S114" s="27"/>
      <c r="T114" s="28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8"/>
      <c r="AS114" s="27"/>
      <c r="AT114" s="27"/>
      <c r="AU114" s="82"/>
      <c r="AV114" s="86"/>
      <c r="AW114" s="28"/>
      <c r="AX114" s="29"/>
      <c r="AY114" s="30"/>
      <c r="AZ114" s="30"/>
      <c r="BA114" s="30"/>
      <c r="BB114" s="30"/>
      <c r="BC114" s="30"/>
      <c r="BD114" s="107"/>
      <c r="BE114" s="108"/>
      <c r="BF114" s="27"/>
    </row>
    <row r="115" spans="1:58">
      <c r="A115" s="95"/>
      <c r="D115" s="27"/>
      <c r="E115" s="27"/>
      <c r="F115" s="27"/>
      <c r="G115" s="27"/>
      <c r="H115" s="27"/>
      <c r="I115" s="27"/>
      <c r="J115" s="28"/>
      <c r="K115" s="27"/>
      <c r="L115" s="27"/>
      <c r="M115" s="27"/>
      <c r="N115" s="28"/>
      <c r="O115" s="27"/>
      <c r="P115" s="27"/>
      <c r="Q115" s="28"/>
      <c r="R115" s="27"/>
      <c r="S115" s="27"/>
      <c r="T115" s="28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8"/>
      <c r="AS115" s="27"/>
      <c r="AT115" s="27"/>
      <c r="AU115" s="82"/>
      <c r="AV115" s="86"/>
      <c r="AW115" s="28"/>
      <c r="AX115" s="29"/>
      <c r="AY115" s="30"/>
      <c r="AZ115" s="30"/>
      <c r="BA115" s="30"/>
      <c r="BB115" s="30"/>
      <c r="BC115" s="30"/>
      <c r="BD115" s="107"/>
      <c r="BE115" s="108"/>
      <c r="BF115" s="27"/>
    </row>
    <row r="116" spans="1:58">
      <c r="A116" s="95"/>
      <c r="D116" s="27"/>
      <c r="E116" s="27"/>
      <c r="F116" s="27"/>
      <c r="G116" s="27"/>
      <c r="H116" s="27"/>
      <c r="I116" s="27"/>
      <c r="J116" s="28"/>
      <c r="K116" s="27"/>
      <c r="L116" s="27"/>
      <c r="M116" s="27"/>
      <c r="N116" s="28"/>
      <c r="O116" s="27"/>
      <c r="P116" s="27"/>
      <c r="Q116" s="28"/>
      <c r="R116" s="27"/>
      <c r="S116" s="27"/>
      <c r="T116" s="28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8"/>
      <c r="AS116" s="27"/>
      <c r="AT116" s="27"/>
      <c r="AU116" s="82"/>
      <c r="AV116" s="86"/>
      <c r="AW116" s="28"/>
      <c r="AX116" s="29"/>
      <c r="AY116" s="30"/>
      <c r="AZ116" s="30"/>
      <c r="BA116" s="30"/>
      <c r="BB116" s="30"/>
      <c r="BC116" s="30"/>
      <c r="BD116" s="107"/>
      <c r="BE116" s="108"/>
      <c r="BF116" s="27"/>
    </row>
    <row r="117" spans="1:58">
      <c r="A117" s="95"/>
      <c r="D117" s="27"/>
      <c r="E117" s="27"/>
      <c r="F117" s="27"/>
      <c r="G117" s="27"/>
      <c r="H117" s="27"/>
      <c r="I117" s="27"/>
      <c r="J117" s="28"/>
      <c r="K117" s="27"/>
      <c r="L117" s="27"/>
      <c r="M117" s="27"/>
      <c r="N117" s="28"/>
      <c r="O117" s="27"/>
      <c r="P117" s="27"/>
      <c r="Q117" s="28"/>
      <c r="R117" s="27"/>
      <c r="S117" s="27"/>
      <c r="T117" s="28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8"/>
      <c r="AS117" s="27"/>
      <c r="AT117" s="27"/>
      <c r="AU117" s="82"/>
      <c r="AV117" s="86"/>
      <c r="AW117" s="28"/>
      <c r="AX117" s="29"/>
      <c r="AY117" s="30"/>
      <c r="AZ117" s="30"/>
      <c r="BA117" s="30"/>
      <c r="BB117" s="30"/>
      <c r="BC117" s="30"/>
      <c r="BD117" s="107"/>
      <c r="BE117" s="108"/>
      <c r="BF117" s="27"/>
    </row>
    <row r="118" spans="1:58">
      <c r="A118" s="95"/>
      <c r="D118" s="27"/>
      <c r="E118" s="27"/>
      <c r="F118" s="27"/>
      <c r="G118" s="27"/>
      <c r="H118" s="27"/>
      <c r="I118" s="27"/>
      <c r="J118" s="28"/>
      <c r="K118" s="27"/>
      <c r="L118" s="27"/>
      <c r="M118" s="27"/>
      <c r="N118" s="28"/>
      <c r="O118" s="27"/>
      <c r="P118" s="27"/>
      <c r="Q118" s="28"/>
      <c r="R118" s="27"/>
      <c r="S118" s="27"/>
      <c r="T118" s="28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8"/>
      <c r="AS118" s="27"/>
      <c r="AT118" s="27"/>
      <c r="AU118" s="82"/>
      <c r="AV118" s="86"/>
      <c r="AW118" s="28"/>
      <c r="AX118" s="29"/>
      <c r="AY118" s="30"/>
      <c r="AZ118" s="30"/>
      <c r="BA118" s="30"/>
      <c r="BB118" s="30"/>
      <c r="BC118" s="30"/>
      <c r="BD118" s="107"/>
      <c r="BE118" s="108"/>
      <c r="BF118" s="27"/>
    </row>
    <row r="119" spans="1:58">
      <c r="A119" s="95"/>
      <c r="D119" s="27"/>
      <c r="E119" s="27"/>
      <c r="F119" s="27"/>
      <c r="G119" s="27"/>
      <c r="H119" s="27"/>
      <c r="I119" s="27"/>
      <c r="J119" s="28"/>
      <c r="K119" s="27"/>
      <c r="L119" s="27"/>
      <c r="M119" s="27"/>
      <c r="N119" s="28"/>
      <c r="O119" s="27"/>
      <c r="P119" s="27"/>
      <c r="Q119" s="28"/>
      <c r="R119" s="27"/>
      <c r="S119" s="27"/>
      <c r="T119" s="28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8"/>
      <c r="AS119" s="27"/>
      <c r="AT119" s="27"/>
      <c r="AU119" s="82"/>
      <c r="AV119" s="86"/>
      <c r="AW119" s="28"/>
      <c r="AX119" s="29"/>
      <c r="AY119" s="30"/>
      <c r="AZ119" s="30"/>
      <c r="BA119" s="30"/>
      <c r="BB119" s="30"/>
      <c r="BC119" s="30"/>
      <c r="BD119" s="107"/>
      <c r="BE119" s="108"/>
      <c r="BF119" s="27"/>
    </row>
    <row r="120" spans="1:58">
      <c r="A120" s="95"/>
      <c r="D120" s="27"/>
      <c r="E120" s="27"/>
      <c r="F120" s="27"/>
      <c r="G120" s="27"/>
      <c r="H120" s="27"/>
      <c r="I120" s="27"/>
      <c r="J120" s="28"/>
      <c r="K120" s="27"/>
      <c r="L120" s="27"/>
      <c r="M120" s="27"/>
      <c r="N120" s="28"/>
      <c r="O120" s="27"/>
      <c r="P120" s="27"/>
      <c r="Q120" s="28"/>
      <c r="R120" s="27"/>
      <c r="S120" s="27"/>
      <c r="T120" s="28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8"/>
      <c r="AS120" s="27"/>
      <c r="AT120" s="27"/>
      <c r="AU120" s="82"/>
      <c r="AV120" s="86"/>
      <c r="AW120" s="28"/>
      <c r="AX120" s="29"/>
      <c r="AY120" s="30"/>
      <c r="AZ120" s="30"/>
      <c r="BA120" s="30"/>
      <c r="BB120" s="30"/>
      <c r="BC120" s="30"/>
      <c r="BD120" s="107"/>
      <c r="BE120" s="108"/>
      <c r="BF120" s="27"/>
    </row>
    <row r="121" spans="1:58">
      <c r="A121" s="95"/>
      <c r="D121" s="27"/>
      <c r="E121" s="27"/>
      <c r="F121" s="27"/>
      <c r="G121" s="27"/>
      <c r="H121" s="27"/>
      <c r="I121" s="27"/>
      <c r="J121" s="28"/>
      <c r="K121" s="27"/>
      <c r="L121" s="27"/>
      <c r="M121" s="27"/>
      <c r="N121" s="28"/>
      <c r="O121" s="27"/>
      <c r="P121" s="27"/>
      <c r="Q121" s="28"/>
      <c r="R121" s="27"/>
      <c r="S121" s="27"/>
      <c r="T121" s="28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8"/>
      <c r="AS121" s="27"/>
      <c r="AT121" s="27"/>
      <c r="AU121" s="82"/>
      <c r="AV121" s="86"/>
      <c r="AW121" s="28"/>
      <c r="AX121" s="29"/>
      <c r="AY121" s="30"/>
      <c r="AZ121" s="30"/>
      <c r="BA121" s="30"/>
      <c r="BB121" s="30"/>
      <c r="BC121" s="30"/>
      <c r="BD121" s="107"/>
      <c r="BE121" s="108"/>
      <c r="BF121" s="27"/>
    </row>
    <row r="122" spans="1:58">
      <c r="A122" s="95"/>
      <c r="D122" s="27"/>
      <c r="E122" s="27"/>
      <c r="F122" s="27"/>
      <c r="G122" s="27"/>
      <c r="H122" s="27"/>
      <c r="I122" s="27"/>
      <c r="J122" s="28"/>
      <c r="K122" s="27"/>
      <c r="L122" s="27"/>
      <c r="M122" s="27"/>
      <c r="N122" s="28"/>
      <c r="O122" s="27"/>
      <c r="P122" s="27"/>
      <c r="Q122" s="28"/>
      <c r="R122" s="27"/>
      <c r="S122" s="27"/>
      <c r="T122" s="28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8"/>
      <c r="AS122" s="27"/>
      <c r="AT122" s="27"/>
      <c r="AU122" s="82"/>
      <c r="AV122" s="86"/>
      <c r="AW122" s="28"/>
      <c r="AX122" s="29"/>
      <c r="AY122" s="30"/>
      <c r="AZ122" s="30"/>
      <c r="BA122" s="30"/>
      <c r="BB122" s="30"/>
      <c r="BC122" s="30"/>
      <c r="BD122" s="107"/>
      <c r="BE122" s="108"/>
      <c r="BF122" s="27"/>
    </row>
    <row r="123" spans="1:58">
      <c r="A123" s="95"/>
      <c r="D123" s="27"/>
      <c r="E123" s="27"/>
      <c r="F123" s="27"/>
      <c r="G123" s="27"/>
      <c r="H123" s="27"/>
      <c r="I123" s="27"/>
      <c r="J123" s="28"/>
      <c r="K123" s="27"/>
      <c r="L123" s="27"/>
      <c r="M123" s="27"/>
      <c r="N123" s="28"/>
      <c r="O123" s="27"/>
      <c r="P123" s="27"/>
      <c r="Q123" s="28"/>
      <c r="R123" s="27"/>
      <c r="S123" s="27"/>
      <c r="T123" s="28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8"/>
      <c r="AS123" s="27"/>
      <c r="AT123" s="27"/>
      <c r="AU123" s="82"/>
      <c r="AV123" s="86"/>
      <c r="AW123" s="28"/>
      <c r="AX123" s="29"/>
      <c r="AY123" s="30"/>
      <c r="AZ123" s="30"/>
      <c r="BA123" s="30"/>
      <c r="BB123" s="30"/>
      <c r="BC123" s="30"/>
      <c r="BD123" s="107"/>
      <c r="BE123" s="108"/>
      <c r="BF123" s="27"/>
    </row>
    <row r="124" spans="1:58">
      <c r="A124" s="95"/>
      <c r="D124" s="27"/>
      <c r="E124" s="27"/>
      <c r="F124" s="27"/>
      <c r="G124" s="27"/>
      <c r="H124" s="27"/>
      <c r="I124" s="27"/>
      <c r="J124" s="28"/>
      <c r="K124" s="27"/>
      <c r="L124" s="27"/>
      <c r="M124" s="27"/>
      <c r="N124" s="28"/>
      <c r="O124" s="27"/>
      <c r="P124" s="27"/>
      <c r="Q124" s="28"/>
      <c r="R124" s="27"/>
      <c r="S124" s="27"/>
      <c r="T124" s="28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8"/>
      <c r="AS124" s="27"/>
      <c r="AT124" s="27"/>
      <c r="AU124" s="82"/>
      <c r="AV124" s="86"/>
      <c r="AW124" s="28"/>
      <c r="AX124" s="29"/>
      <c r="AY124" s="30"/>
      <c r="AZ124" s="30"/>
      <c r="BA124" s="30"/>
      <c r="BB124" s="30"/>
      <c r="BC124" s="30"/>
      <c r="BD124" s="107"/>
      <c r="BE124" s="108"/>
      <c r="BF124" s="27"/>
    </row>
    <row r="125" spans="1:58">
      <c r="A125" s="95"/>
      <c r="D125" s="27"/>
      <c r="E125" s="27"/>
      <c r="F125" s="27"/>
      <c r="G125" s="27"/>
      <c r="H125" s="27"/>
      <c r="I125" s="27"/>
      <c r="J125" s="28"/>
      <c r="K125" s="27"/>
      <c r="L125" s="27"/>
      <c r="M125" s="27"/>
      <c r="N125" s="28"/>
      <c r="O125" s="27"/>
      <c r="P125" s="27"/>
      <c r="Q125" s="28"/>
      <c r="R125" s="27"/>
      <c r="S125" s="27"/>
      <c r="T125" s="28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8"/>
      <c r="AS125" s="27"/>
      <c r="AT125" s="27"/>
      <c r="AU125" s="82"/>
      <c r="AV125" s="86"/>
      <c r="AW125" s="28"/>
      <c r="AX125" s="29"/>
      <c r="AY125" s="30"/>
      <c r="AZ125" s="30"/>
      <c r="BA125" s="30"/>
      <c r="BB125" s="30"/>
      <c r="BC125" s="30"/>
      <c r="BD125" s="107"/>
      <c r="BE125" s="108"/>
      <c r="BF125" s="27"/>
    </row>
    <row r="126" spans="1:58">
      <c r="A126" s="95"/>
      <c r="D126" s="27"/>
      <c r="E126" s="27"/>
      <c r="F126" s="27"/>
      <c r="G126" s="27"/>
      <c r="H126" s="27"/>
      <c r="I126" s="27"/>
      <c r="J126" s="28"/>
      <c r="K126" s="27"/>
      <c r="L126" s="27"/>
      <c r="M126" s="27"/>
      <c r="N126" s="28"/>
      <c r="O126" s="27"/>
      <c r="P126" s="27"/>
      <c r="Q126" s="28"/>
      <c r="R126" s="27"/>
      <c r="S126" s="27"/>
      <c r="T126" s="28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8"/>
      <c r="AS126" s="27"/>
      <c r="AT126" s="27"/>
      <c r="AU126" s="82"/>
      <c r="AV126" s="86"/>
      <c r="AW126" s="28"/>
      <c r="AX126" s="29"/>
      <c r="AY126" s="30"/>
      <c r="AZ126" s="30"/>
      <c r="BA126" s="30"/>
      <c r="BB126" s="30"/>
      <c r="BC126" s="30"/>
      <c r="BD126" s="107"/>
      <c r="BE126" s="108"/>
      <c r="BF126" s="27"/>
    </row>
    <row r="127" spans="1:58">
      <c r="A127" s="95"/>
      <c r="D127" s="27"/>
      <c r="E127" s="27"/>
      <c r="F127" s="27"/>
      <c r="G127" s="27"/>
      <c r="H127" s="27"/>
      <c r="I127" s="27"/>
      <c r="J127" s="28"/>
      <c r="K127" s="27"/>
      <c r="L127" s="27"/>
      <c r="M127" s="27"/>
      <c r="N127" s="28"/>
      <c r="O127" s="27"/>
      <c r="P127" s="27"/>
      <c r="Q127" s="28"/>
      <c r="R127" s="27"/>
      <c r="S127" s="27"/>
      <c r="T127" s="28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28"/>
      <c r="AS127" s="27"/>
      <c r="AT127" s="27"/>
      <c r="AU127" s="82"/>
      <c r="AV127" s="86"/>
      <c r="AW127" s="28"/>
      <c r="AX127" s="29"/>
      <c r="AY127" s="30"/>
      <c r="AZ127" s="30"/>
      <c r="BA127" s="30"/>
      <c r="BB127" s="30"/>
      <c r="BC127" s="30"/>
      <c r="BD127" s="107"/>
      <c r="BE127" s="108"/>
      <c r="BF127" s="27"/>
    </row>
    <row r="128" spans="1:58">
      <c r="A128" s="95"/>
      <c r="D128" s="27"/>
      <c r="E128" s="27"/>
      <c r="F128" s="27"/>
      <c r="G128" s="27"/>
      <c r="H128" s="27"/>
      <c r="I128" s="27"/>
      <c r="J128" s="28"/>
      <c r="K128" s="27"/>
      <c r="L128" s="27"/>
      <c r="M128" s="27"/>
      <c r="N128" s="28"/>
      <c r="O128" s="27"/>
      <c r="P128" s="27"/>
      <c r="Q128" s="28"/>
      <c r="R128" s="27"/>
      <c r="S128" s="27"/>
      <c r="T128" s="28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8"/>
      <c r="AS128" s="27"/>
      <c r="AT128" s="27"/>
      <c r="AU128" s="82"/>
      <c r="AV128" s="86"/>
      <c r="AW128" s="28"/>
      <c r="AX128" s="29"/>
      <c r="AY128" s="30"/>
      <c r="AZ128" s="30"/>
      <c r="BA128" s="30"/>
      <c r="BB128" s="30"/>
      <c r="BC128" s="30"/>
      <c r="BD128" s="107"/>
      <c r="BE128" s="108"/>
      <c r="BF128" s="27"/>
    </row>
    <row r="129" spans="1:58">
      <c r="A129" s="95"/>
      <c r="D129" s="27"/>
      <c r="E129" s="27"/>
      <c r="F129" s="27"/>
      <c r="G129" s="27"/>
      <c r="H129" s="27"/>
      <c r="I129" s="27"/>
      <c r="J129" s="28"/>
      <c r="K129" s="27"/>
      <c r="L129" s="27"/>
      <c r="M129" s="27"/>
      <c r="N129" s="28"/>
      <c r="O129" s="27"/>
      <c r="P129" s="27"/>
      <c r="Q129" s="28"/>
      <c r="R129" s="27"/>
      <c r="S129" s="27"/>
      <c r="T129" s="28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28"/>
      <c r="AS129" s="27"/>
      <c r="AT129" s="27"/>
      <c r="AU129" s="82"/>
      <c r="AV129" s="86"/>
      <c r="AW129" s="28"/>
      <c r="AX129" s="29"/>
      <c r="AY129" s="30"/>
      <c r="AZ129" s="30"/>
      <c r="BA129" s="30"/>
      <c r="BB129" s="30"/>
      <c r="BC129" s="30"/>
      <c r="BD129" s="107"/>
      <c r="BE129" s="108"/>
      <c r="BF129" s="27"/>
    </row>
    <row r="130" spans="1:58">
      <c r="A130" s="95"/>
      <c r="D130" s="27"/>
      <c r="E130" s="27"/>
      <c r="F130" s="27"/>
      <c r="G130" s="27"/>
      <c r="H130" s="27"/>
      <c r="I130" s="27"/>
      <c r="J130" s="28"/>
      <c r="K130" s="27"/>
      <c r="L130" s="27"/>
      <c r="M130" s="27"/>
      <c r="N130" s="28"/>
      <c r="O130" s="27"/>
      <c r="P130" s="27"/>
      <c r="Q130" s="28"/>
      <c r="R130" s="27"/>
      <c r="S130" s="27"/>
      <c r="T130" s="28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8"/>
      <c r="AS130" s="27"/>
      <c r="AT130" s="27"/>
      <c r="AU130" s="82"/>
      <c r="AV130" s="86"/>
      <c r="AW130" s="28"/>
      <c r="AX130" s="29"/>
      <c r="AY130" s="30"/>
      <c r="AZ130" s="30"/>
      <c r="BA130" s="30"/>
      <c r="BB130" s="30"/>
      <c r="BC130" s="30"/>
      <c r="BD130" s="107"/>
      <c r="BE130" s="108"/>
      <c r="BF130" s="27"/>
    </row>
    <row r="131" spans="1:58">
      <c r="A131" s="95"/>
      <c r="D131" s="27"/>
      <c r="E131" s="27"/>
      <c r="F131" s="27"/>
      <c r="G131" s="27"/>
      <c r="H131" s="27"/>
      <c r="I131" s="27"/>
      <c r="J131" s="28"/>
      <c r="K131" s="27"/>
      <c r="L131" s="27"/>
      <c r="M131" s="27"/>
      <c r="N131" s="28"/>
      <c r="O131" s="27"/>
      <c r="P131" s="27"/>
      <c r="Q131" s="28"/>
      <c r="R131" s="27"/>
      <c r="S131" s="27"/>
      <c r="T131" s="28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8"/>
      <c r="AS131" s="27"/>
      <c r="AT131" s="27"/>
      <c r="AU131" s="82"/>
      <c r="AV131" s="86"/>
      <c r="AW131" s="28"/>
      <c r="AX131" s="29"/>
      <c r="AY131" s="30"/>
      <c r="AZ131" s="30"/>
      <c r="BA131" s="30"/>
      <c r="BB131" s="30"/>
      <c r="BC131" s="30"/>
      <c r="BD131" s="107"/>
      <c r="BE131" s="108"/>
      <c r="BF131" s="27"/>
    </row>
    <row r="132" spans="1:58">
      <c r="A132" s="95"/>
      <c r="D132" s="27"/>
      <c r="E132" s="27"/>
      <c r="F132" s="27"/>
      <c r="G132" s="27"/>
      <c r="H132" s="27"/>
      <c r="I132" s="27"/>
      <c r="J132" s="28"/>
      <c r="K132" s="27"/>
      <c r="L132" s="27"/>
      <c r="M132" s="27"/>
      <c r="N132" s="28"/>
      <c r="O132" s="27"/>
      <c r="P132" s="27"/>
      <c r="Q132" s="28"/>
      <c r="R132" s="27"/>
      <c r="S132" s="27"/>
      <c r="T132" s="28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8"/>
      <c r="AS132" s="27"/>
      <c r="AT132" s="27"/>
      <c r="AU132" s="82"/>
      <c r="AV132" s="86"/>
      <c r="AW132" s="28"/>
      <c r="AX132" s="29"/>
      <c r="AY132" s="30"/>
      <c r="AZ132" s="30"/>
      <c r="BA132" s="30"/>
      <c r="BB132" s="30"/>
      <c r="BC132" s="30"/>
      <c r="BD132" s="107"/>
      <c r="BE132" s="108"/>
      <c r="BF132" s="27"/>
    </row>
    <row r="133" spans="1:58">
      <c r="A133" s="95"/>
      <c r="D133" s="27"/>
      <c r="E133" s="27"/>
      <c r="F133" s="27"/>
      <c r="G133" s="27"/>
      <c r="H133" s="27"/>
      <c r="I133" s="27"/>
      <c r="J133" s="28"/>
      <c r="K133" s="27"/>
      <c r="L133" s="27"/>
      <c r="M133" s="27"/>
      <c r="N133" s="28"/>
      <c r="O133" s="27"/>
      <c r="P133" s="27"/>
      <c r="Q133" s="28"/>
      <c r="R133" s="27"/>
      <c r="S133" s="27"/>
      <c r="T133" s="28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8"/>
      <c r="AS133" s="27"/>
      <c r="AT133" s="27"/>
      <c r="AU133" s="82"/>
      <c r="AV133" s="86"/>
      <c r="AW133" s="28"/>
      <c r="AX133" s="29"/>
      <c r="AY133" s="30"/>
      <c r="AZ133" s="30"/>
      <c r="BA133" s="30"/>
      <c r="BB133" s="30"/>
      <c r="BC133" s="30"/>
      <c r="BD133" s="107"/>
      <c r="BE133" s="108"/>
      <c r="BF133" s="27"/>
    </row>
    <row r="134" spans="1:58">
      <c r="A134" s="95"/>
      <c r="D134" s="27"/>
      <c r="E134" s="27"/>
      <c r="F134" s="27"/>
      <c r="G134" s="27"/>
      <c r="H134" s="27"/>
      <c r="I134" s="27"/>
      <c r="J134" s="28"/>
      <c r="K134" s="27"/>
      <c r="L134" s="27"/>
      <c r="M134" s="27"/>
      <c r="N134" s="28"/>
      <c r="O134" s="27"/>
      <c r="P134" s="27"/>
      <c r="Q134" s="28"/>
      <c r="R134" s="27"/>
      <c r="S134" s="27"/>
      <c r="T134" s="28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8"/>
      <c r="AS134" s="27"/>
      <c r="AT134" s="27"/>
      <c r="AU134" s="82"/>
      <c r="AV134" s="86"/>
      <c r="AW134" s="28"/>
      <c r="AX134" s="29"/>
      <c r="AY134" s="30"/>
      <c r="AZ134" s="30"/>
      <c r="BA134" s="30"/>
      <c r="BB134" s="30"/>
      <c r="BC134" s="30"/>
      <c r="BD134" s="107"/>
      <c r="BE134" s="108"/>
      <c r="BF134" s="27"/>
    </row>
    <row r="135" spans="1:58">
      <c r="A135" s="95"/>
      <c r="D135" s="27"/>
      <c r="E135" s="27"/>
      <c r="F135" s="27"/>
      <c r="G135" s="27"/>
      <c r="H135" s="27"/>
      <c r="I135" s="27"/>
      <c r="J135" s="28"/>
      <c r="K135" s="27"/>
      <c r="L135" s="27"/>
      <c r="M135" s="27"/>
      <c r="N135" s="28"/>
      <c r="O135" s="27"/>
      <c r="P135" s="27"/>
      <c r="Q135" s="28"/>
      <c r="R135" s="27"/>
      <c r="S135" s="27"/>
      <c r="T135" s="28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28"/>
      <c r="AS135" s="27"/>
      <c r="AT135" s="27"/>
      <c r="AU135" s="82"/>
      <c r="AV135" s="86"/>
      <c r="AW135" s="28"/>
      <c r="AX135" s="29"/>
      <c r="AY135" s="30"/>
      <c r="AZ135" s="30"/>
      <c r="BA135" s="30"/>
      <c r="BB135" s="30"/>
      <c r="BC135" s="30"/>
      <c r="BD135" s="107"/>
      <c r="BE135" s="108"/>
      <c r="BF135" s="27"/>
    </row>
    <row r="136" spans="1:58">
      <c r="A136" s="95"/>
      <c r="D136" s="27"/>
      <c r="E136" s="27"/>
      <c r="F136" s="27"/>
      <c r="G136" s="27"/>
      <c r="H136" s="27"/>
      <c r="I136" s="27"/>
      <c r="J136" s="28"/>
      <c r="K136" s="27"/>
      <c r="L136" s="27"/>
      <c r="M136" s="27"/>
      <c r="N136" s="28"/>
      <c r="O136" s="27"/>
      <c r="P136" s="27"/>
      <c r="Q136" s="28"/>
      <c r="R136" s="27"/>
      <c r="S136" s="27"/>
      <c r="T136" s="28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8"/>
      <c r="AS136" s="27"/>
      <c r="AT136" s="27"/>
      <c r="AU136" s="82"/>
      <c r="AV136" s="86"/>
      <c r="AW136" s="28"/>
      <c r="AX136" s="29"/>
      <c r="AY136" s="30"/>
      <c r="AZ136" s="30"/>
      <c r="BA136" s="30"/>
      <c r="BB136" s="30"/>
      <c r="BC136" s="30"/>
      <c r="BD136" s="107"/>
      <c r="BE136" s="108"/>
      <c r="BF136" s="27"/>
    </row>
    <row r="137" spans="1:58">
      <c r="A137" s="95"/>
      <c r="D137" s="27"/>
      <c r="E137" s="27"/>
      <c r="F137" s="27"/>
      <c r="G137" s="27"/>
      <c r="H137" s="27"/>
      <c r="I137" s="27"/>
      <c r="J137" s="28"/>
      <c r="K137" s="27"/>
      <c r="L137" s="27"/>
      <c r="M137" s="27"/>
      <c r="N137" s="28"/>
      <c r="O137" s="27"/>
      <c r="P137" s="27"/>
      <c r="Q137" s="28"/>
      <c r="R137" s="27"/>
      <c r="S137" s="27"/>
      <c r="T137" s="28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8"/>
      <c r="AS137" s="27"/>
      <c r="AT137" s="27"/>
      <c r="AU137" s="82"/>
      <c r="AV137" s="86"/>
      <c r="AW137" s="28"/>
      <c r="AX137" s="29"/>
      <c r="AY137" s="30"/>
      <c r="AZ137" s="30"/>
      <c r="BA137" s="30"/>
      <c r="BB137" s="30"/>
      <c r="BC137" s="30"/>
      <c r="BD137" s="107"/>
      <c r="BE137" s="108"/>
      <c r="BF137" s="27"/>
    </row>
    <row r="138" spans="1:58">
      <c r="A138" s="95"/>
      <c r="D138" s="27"/>
      <c r="E138" s="27"/>
      <c r="F138" s="27"/>
      <c r="G138" s="27"/>
      <c r="H138" s="27"/>
      <c r="I138" s="27"/>
      <c r="J138" s="28"/>
      <c r="K138" s="27"/>
      <c r="L138" s="27"/>
      <c r="M138" s="27"/>
      <c r="N138" s="28"/>
      <c r="O138" s="27"/>
      <c r="P138" s="27"/>
      <c r="Q138" s="28"/>
      <c r="R138" s="27"/>
      <c r="S138" s="27"/>
      <c r="T138" s="28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8"/>
      <c r="AS138" s="27"/>
      <c r="AT138" s="27"/>
      <c r="AU138" s="82"/>
      <c r="AV138" s="86"/>
      <c r="AW138" s="28"/>
      <c r="AX138" s="29"/>
      <c r="AY138" s="30"/>
      <c r="AZ138" s="30"/>
      <c r="BA138" s="30"/>
      <c r="BB138" s="30"/>
      <c r="BC138" s="30"/>
      <c r="BD138" s="107"/>
      <c r="BE138" s="108"/>
      <c r="BF138" s="27"/>
    </row>
    <row r="139" spans="1:58">
      <c r="A139" s="95"/>
      <c r="D139" s="27"/>
      <c r="E139" s="27"/>
      <c r="F139" s="27"/>
      <c r="G139" s="27"/>
      <c r="H139" s="27"/>
      <c r="I139" s="27"/>
      <c r="J139" s="28"/>
      <c r="K139" s="27"/>
      <c r="L139" s="27"/>
      <c r="M139" s="27"/>
      <c r="N139" s="28"/>
      <c r="O139" s="27"/>
      <c r="P139" s="27"/>
      <c r="Q139" s="28"/>
      <c r="R139" s="27"/>
      <c r="S139" s="27"/>
      <c r="T139" s="28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8"/>
      <c r="AS139" s="27"/>
      <c r="AT139" s="27"/>
      <c r="AU139" s="82"/>
      <c r="AV139" s="86"/>
      <c r="AW139" s="28"/>
      <c r="AX139" s="29"/>
      <c r="AY139" s="30"/>
      <c r="AZ139" s="30"/>
      <c r="BA139" s="30"/>
      <c r="BB139" s="30"/>
      <c r="BC139" s="30"/>
      <c r="BD139" s="107"/>
      <c r="BE139" s="108"/>
      <c r="BF139" s="27"/>
    </row>
    <row r="140" spans="1:58">
      <c r="A140" s="95"/>
      <c r="D140" s="27"/>
      <c r="E140" s="27"/>
      <c r="F140" s="27"/>
      <c r="G140" s="27"/>
      <c r="H140" s="27"/>
      <c r="I140" s="27"/>
      <c r="J140" s="28"/>
      <c r="K140" s="27"/>
      <c r="L140" s="27"/>
      <c r="M140" s="27"/>
      <c r="N140" s="28"/>
      <c r="O140" s="27"/>
      <c r="P140" s="27"/>
      <c r="Q140" s="28"/>
      <c r="R140" s="27"/>
      <c r="S140" s="27"/>
      <c r="T140" s="28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8"/>
      <c r="AS140" s="27"/>
      <c r="AT140" s="27"/>
      <c r="AU140" s="82"/>
      <c r="AV140" s="86"/>
      <c r="AW140" s="28"/>
      <c r="AX140" s="29"/>
      <c r="AY140" s="30"/>
      <c r="AZ140" s="30"/>
      <c r="BA140" s="30"/>
      <c r="BB140" s="30"/>
      <c r="BC140" s="30"/>
      <c r="BD140" s="107"/>
      <c r="BE140" s="108"/>
      <c r="BF140" s="27"/>
    </row>
    <row r="141" spans="1:58">
      <c r="A141" s="95"/>
      <c r="D141" s="27"/>
      <c r="E141" s="27"/>
      <c r="F141" s="27"/>
      <c r="G141" s="27"/>
      <c r="H141" s="27"/>
      <c r="I141" s="27"/>
      <c r="J141" s="28"/>
      <c r="K141" s="27"/>
      <c r="L141" s="27"/>
      <c r="M141" s="27"/>
      <c r="N141" s="28"/>
      <c r="O141" s="27"/>
      <c r="P141" s="27"/>
      <c r="Q141" s="28"/>
      <c r="R141" s="27"/>
      <c r="S141" s="27"/>
      <c r="T141" s="28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8"/>
      <c r="AS141" s="27"/>
      <c r="AT141" s="27"/>
      <c r="AU141" s="82"/>
      <c r="AV141" s="86"/>
      <c r="AW141" s="28"/>
      <c r="AX141" s="29"/>
      <c r="AY141" s="30"/>
      <c r="AZ141" s="30"/>
      <c r="BA141" s="30"/>
      <c r="BB141" s="30"/>
      <c r="BC141" s="30"/>
      <c r="BD141" s="107"/>
      <c r="BE141" s="108"/>
      <c r="BF141" s="27"/>
    </row>
    <row r="142" spans="1:58">
      <c r="A142" s="95"/>
      <c r="D142" s="27"/>
      <c r="E142" s="27"/>
      <c r="F142" s="27"/>
      <c r="G142" s="27"/>
      <c r="H142" s="27"/>
      <c r="I142" s="27"/>
      <c r="J142" s="28"/>
      <c r="K142" s="27"/>
      <c r="L142" s="27"/>
      <c r="M142" s="27"/>
      <c r="N142" s="28"/>
      <c r="O142" s="27"/>
      <c r="P142" s="27"/>
      <c r="Q142" s="28"/>
      <c r="R142" s="27"/>
      <c r="S142" s="27"/>
      <c r="T142" s="28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8"/>
      <c r="AS142" s="27"/>
      <c r="AT142" s="27"/>
      <c r="AU142" s="82"/>
      <c r="AV142" s="86"/>
      <c r="AW142" s="28"/>
      <c r="AX142" s="29"/>
      <c r="AY142" s="30"/>
      <c r="AZ142" s="30"/>
      <c r="BA142" s="30"/>
      <c r="BB142" s="30"/>
      <c r="BC142" s="30"/>
      <c r="BD142" s="107"/>
      <c r="BE142" s="108"/>
      <c r="BF142" s="27"/>
    </row>
    <row r="143" spans="1:58">
      <c r="A143" s="95"/>
      <c r="D143" s="27"/>
      <c r="E143" s="27"/>
      <c r="F143" s="27"/>
      <c r="G143" s="27"/>
      <c r="H143" s="27"/>
      <c r="I143" s="27"/>
      <c r="J143" s="28"/>
      <c r="K143" s="27"/>
      <c r="L143" s="27"/>
      <c r="M143" s="27"/>
      <c r="N143" s="28"/>
      <c r="O143" s="27"/>
      <c r="P143" s="27"/>
      <c r="Q143" s="28"/>
      <c r="R143" s="27"/>
      <c r="S143" s="27"/>
      <c r="T143" s="28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8"/>
      <c r="AS143" s="27"/>
      <c r="AT143" s="27"/>
      <c r="AU143" s="82"/>
      <c r="AV143" s="86"/>
      <c r="AW143" s="28"/>
      <c r="AX143" s="29"/>
      <c r="AY143" s="30"/>
      <c r="AZ143" s="30"/>
      <c r="BA143" s="30"/>
      <c r="BB143" s="30"/>
      <c r="BC143" s="30"/>
      <c r="BD143" s="107"/>
      <c r="BE143" s="108"/>
      <c r="BF143" s="27"/>
    </row>
    <row r="144" spans="1:58">
      <c r="A144" s="95"/>
      <c r="D144" s="27"/>
      <c r="E144" s="27"/>
      <c r="F144" s="27"/>
      <c r="G144" s="27"/>
      <c r="H144" s="27"/>
      <c r="I144" s="27"/>
      <c r="J144" s="28"/>
      <c r="K144" s="27"/>
      <c r="L144" s="27"/>
      <c r="M144" s="27"/>
      <c r="N144" s="28"/>
      <c r="O144" s="27"/>
      <c r="P144" s="27"/>
      <c r="Q144" s="28"/>
      <c r="R144" s="27"/>
      <c r="S144" s="27"/>
      <c r="T144" s="28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8"/>
      <c r="AS144" s="27"/>
      <c r="AT144" s="27"/>
      <c r="AU144" s="82"/>
      <c r="AV144" s="86"/>
      <c r="AW144" s="28"/>
      <c r="AX144" s="29"/>
      <c r="AY144" s="30"/>
      <c r="AZ144" s="30"/>
      <c r="BA144" s="30"/>
      <c r="BB144" s="30"/>
      <c r="BC144" s="30"/>
      <c r="BD144" s="107"/>
      <c r="BE144" s="108"/>
      <c r="BF144" s="27"/>
    </row>
    <row r="145" spans="1:58">
      <c r="A145" s="95"/>
      <c r="D145" s="27"/>
      <c r="E145" s="27"/>
      <c r="F145" s="27"/>
      <c r="G145" s="27"/>
      <c r="H145" s="27"/>
      <c r="I145" s="27"/>
      <c r="J145" s="28"/>
      <c r="K145" s="27"/>
      <c r="L145" s="27"/>
      <c r="M145" s="27"/>
      <c r="N145" s="28"/>
      <c r="O145" s="27"/>
      <c r="P145" s="27"/>
      <c r="Q145" s="28"/>
      <c r="R145" s="27"/>
      <c r="S145" s="27"/>
      <c r="T145" s="28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8"/>
      <c r="AS145" s="27"/>
      <c r="AT145" s="27"/>
      <c r="AU145" s="82"/>
      <c r="AV145" s="86"/>
      <c r="AW145" s="28"/>
      <c r="AX145" s="29"/>
      <c r="AY145" s="30"/>
      <c r="AZ145" s="30"/>
      <c r="BA145" s="30"/>
      <c r="BB145" s="30"/>
      <c r="BC145" s="30"/>
      <c r="BD145" s="107"/>
      <c r="BE145" s="108"/>
      <c r="BF145" s="27"/>
    </row>
    <row r="146" spans="1:58">
      <c r="A146" s="95"/>
      <c r="D146" s="27"/>
      <c r="E146" s="27"/>
      <c r="F146" s="27"/>
      <c r="G146" s="27"/>
      <c r="H146" s="27"/>
      <c r="I146" s="27"/>
      <c r="J146" s="28"/>
      <c r="K146" s="27"/>
      <c r="L146" s="27"/>
      <c r="M146" s="27"/>
      <c r="N146" s="28"/>
      <c r="O146" s="27"/>
      <c r="P146" s="27"/>
      <c r="Q146" s="28"/>
      <c r="R146" s="27"/>
      <c r="S146" s="27"/>
      <c r="T146" s="28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8"/>
      <c r="AS146" s="27"/>
      <c r="AT146" s="27"/>
      <c r="AU146" s="82"/>
      <c r="AV146" s="86"/>
      <c r="AW146" s="28"/>
      <c r="AX146" s="29"/>
      <c r="AY146" s="30"/>
      <c r="AZ146" s="30"/>
      <c r="BA146" s="30"/>
      <c r="BB146" s="30"/>
      <c r="BC146" s="30"/>
      <c r="BD146" s="107"/>
      <c r="BE146" s="108"/>
      <c r="BF146" s="27"/>
    </row>
    <row r="147" spans="1:58">
      <c r="A147" s="95"/>
      <c r="D147" s="27"/>
      <c r="E147" s="27"/>
      <c r="F147" s="27"/>
      <c r="G147" s="27"/>
      <c r="H147" s="27"/>
      <c r="I147" s="27"/>
      <c r="J147" s="28"/>
      <c r="K147" s="27"/>
      <c r="L147" s="27"/>
      <c r="M147" s="27"/>
      <c r="N147" s="28"/>
      <c r="O147" s="27"/>
      <c r="P147" s="27"/>
      <c r="Q147" s="28"/>
      <c r="R147" s="27"/>
      <c r="S147" s="27"/>
      <c r="T147" s="28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8"/>
      <c r="AS147" s="27"/>
      <c r="AT147" s="27"/>
      <c r="AU147" s="82"/>
      <c r="AV147" s="86"/>
      <c r="AW147" s="28"/>
      <c r="AX147" s="29"/>
      <c r="AY147" s="30"/>
      <c r="AZ147" s="30"/>
      <c r="BA147" s="30"/>
      <c r="BB147" s="30"/>
      <c r="BC147" s="30"/>
      <c r="BD147" s="107"/>
      <c r="BE147" s="108"/>
      <c r="BF147" s="27"/>
    </row>
    <row r="148" spans="1:58">
      <c r="A148" s="95"/>
      <c r="D148" s="27"/>
      <c r="E148" s="27"/>
      <c r="F148" s="27"/>
      <c r="G148" s="27"/>
      <c r="H148" s="27"/>
      <c r="I148" s="27"/>
      <c r="J148" s="28"/>
      <c r="K148" s="27"/>
      <c r="L148" s="27"/>
      <c r="M148" s="27"/>
      <c r="N148" s="28"/>
      <c r="O148" s="27"/>
      <c r="P148" s="27"/>
      <c r="Q148" s="28"/>
      <c r="R148" s="27"/>
      <c r="S148" s="27"/>
      <c r="T148" s="28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28"/>
      <c r="AS148" s="27"/>
      <c r="AT148" s="27"/>
      <c r="AU148" s="82"/>
      <c r="AV148" s="86"/>
      <c r="AW148" s="28"/>
      <c r="AX148" s="29"/>
      <c r="AY148" s="30"/>
      <c r="AZ148" s="30"/>
      <c r="BA148" s="30"/>
      <c r="BB148" s="30"/>
      <c r="BC148" s="30"/>
      <c r="BD148" s="107"/>
      <c r="BE148" s="108"/>
      <c r="BF148" s="27"/>
    </row>
    <row r="149" spans="1:58">
      <c r="A149" s="95"/>
      <c r="D149" s="27"/>
      <c r="E149" s="27"/>
      <c r="F149" s="27"/>
      <c r="G149" s="27"/>
      <c r="H149" s="27"/>
      <c r="I149" s="27"/>
      <c r="J149" s="28"/>
      <c r="K149" s="27"/>
      <c r="L149" s="27"/>
      <c r="M149" s="27"/>
      <c r="N149" s="28"/>
      <c r="O149" s="27"/>
      <c r="P149" s="27"/>
      <c r="Q149" s="28"/>
      <c r="R149" s="27"/>
      <c r="S149" s="27"/>
      <c r="T149" s="28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8"/>
      <c r="AS149" s="27"/>
      <c r="AT149" s="27"/>
      <c r="AU149" s="82"/>
      <c r="AV149" s="86"/>
      <c r="AW149" s="28"/>
      <c r="AX149" s="29"/>
      <c r="AY149" s="30"/>
      <c r="AZ149" s="30"/>
      <c r="BA149" s="30"/>
      <c r="BB149" s="30"/>
      <c r="BC149" s="30"/>
      <c r="BD149" s="107"/>
      <c r="BE149" s="108"/>
      <c r="BF149" s="27"/>
    </row>
    <row r="150" spans="1:58">
      <c r="A150" s="95"/>
      <c r="D150" s="27"/>
      <c r="E150" s="27"/>
      <c r="F150" s="27"/>
      <c r="G150" s="27"/>
      <c r="H150" s="27"/>
      <c r="I150" s="27"/>
      <c r="J150" s="28"/>
      <c r="K150" s="27"/>
      <c r="L150" s="27"/>
      <c r="M150" s="27"/>
      <c r="N150" s="28"/>
      <c r="O150" s="27"/>
      <c r="P150" s="27"/>
      <c r="Q150" s="28"/>
      <c r="R150" s="27"/>
      <c r="S150" s="27"/>
      <c r="T150" s="28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8"/>
      <c r="AS150" s="27"/>
      <c r="AT150" s="27"/>
      <c r="AU150" s="82"/>
      <c r="AV150" s="86"/>
      <c r="AW150" s="28"/>
      <c r="AX150" s="29"/>
      <c r="AY150" s="30"/>
      <c r="AZ150" s="30"/>
      <c r="BA150" s="30"/>
      <c r="BB150" s="30"/>
      <c r="BC150" s="30"/>
      <c r="BD150" s="107"/>
      <c r="BE150" s="108"/>
      <c r="BF150" s="27"/>
    </row>
    <row r="151" spans="1:58">
      <c r="A151" s="95"/>
      <c r="D151" s="27"/>
      <c r="E151" s="27"/>
      <c r="F151" s="27"/>
      <c r="G151" s="27"/>
      <c r="H151" s="27"/>
      <c r="I151" s="27"/>
      <c r="J151" s="28"/>
      <c r="K151" s="27"/>
      <c r="L151" s="27"/>
      <c r="M151" s="27"/>
      <c r="N151" s="28"/>
      <c r="O151" s="27"/>
      <c r="P151" s="27"/>
      <c r="Q151" s="28"/>
      <c r="R151" s="27"/>
      <c r="S151" s="27"/>
      <c r="T151" s="28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8"/>
      <c r="AS151" s="27"/>
      <c r="AT151" s="27"/>
      <c r="AU151" s="82"/>
      <c r="AV151" s="86"/>
      <c r="AW151" s="28"/>
      <c r="AX151" s="29"/>
      <c r="AY151" s="30"/>
      <c r="AZ151" s="30"/>
      <c r="BA151" s="30"/>
      <c r="BB151" s="30"/>
      <c r="BC151" s="30"/>
      <c r="BD151" s="107"/>
      <c r="BE151" s="108"/>
      <c r="BF151" s="27"/>
    </row>
    <row r="152" spans="1:58">
      <c r="A152" s="95"/>
      <c r="D152" s="27"/>
      <c r="E152" s="27"/>
      <c r="F152" s="27"/>
      <c r="G152" s="27"/>
      <c r="H152" s="27"/>
      <c r="I152" s="27"/>
      <c r="J152" s="28"/>
      <c r="K152" s="27"/>
      <c r="L152" s="27"/>
      <c r="M152" s="27"/>
      <c r="N152" s="28"/>
      <c r="O152" s="27"/>
      <c r="P152" s="27"/>
      <c r="Q152" s="28"/>
      <c r="R152" s="27"/>
      <c r="S152" s="27"/>
      <c r="T152" s="28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8"/>
      <c r="AS152" s="27"/>
      <c r="AT152" s="27"/>
      <c r="AU152" s="82"/>
      <c r="AV152" s="86"/>
      <c r="AW152" s="28"/>
      <c r="AX152" s="29"/>
      <c r="AY152" s="30"/>
      <c r="AZ152" s="30"/>
      <c r="BA152" s="30"/>
      <c r="BB152" s="30"/>
      <c r="BC152" s="30"/>
      <c r="BD152" s="107"/>
      <c r="BE152" s="108"/>
      <c r="BF152" s="27"/>
    </row>
    <row r="153" spans="1:58">
      <c r="A153" s="95"/>
      <c r="D153" s="27"/>
      <c r="E153" s="27"/>
      <c r="F153" s="27"/>
      <c r="G153" s="27"/>
      <c r="H153" s="27"/>
      <c r="I153" s="27"/>
      <c r="J153" s="28"/>
      <c r="K153" s="27"/>
      <c r="L153" s="27"/>
      <c r="M153" s="27"/>
      <c r="N153" s="28"/>
      <c r="O153" s="27"/>
      <c r="P153" s="27"/>
      <c r="Q153" s="28"/>
      <c r="R153" s="27"/>
      <c r="S153" s="27"/>
      <c r="T153" s="28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8"/>
      <c r="AS153" s="27"/>
      <c r="AT153" s="27"/>
      <c r="AU153" s="82"/>
      <c r="AV153" s="86"/>
      <c r="AW153" s="28"/>
      <c r="AX153" s="29"/>
      <c r="AY153" s="30"/>
      <c r="AZ153" s="30"/>
      <c r="BA153" s="30"/>
      <c r="BB153" s="30"/>
      <c r="BC153" s="30"/>
      <c r="BD153" s="107"/>
      <c r="BE153" s="108"/>
      <c r="BF153" s="27"/>
    </row>
    <row r="154" spans="1:58">
      <c r="A154" s="95"/>
      <c r="D154" s="27"/>
      <c r="E154" s="27"/>
      <c r="F154" s="27"/>
      <c r="G154" s="27"/>
      <c r="H154" s="27"/>
      <c r="I154" s="27"/>
      <c r="J154" s="28"/>
      <c r="K154" s="27"/>
      <c r="L154" s="27"/>
      <c r="M154" s="27"/>
      <c r="N154" s="28"/>
      <c r="O154" s="27"/>
      <c r="P154" s="27"/>
      <c r="Q154" s="28"/>
      <c r="R154" s="27"/>
      <c r="S154" s="27"/>
      <c r="T154" s="28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8"/>
      <c r="AS154" s="27"/>
      <c r="AT154" s="27"/>
      <c r="AU154" s="82"/>
      <c r="AV154" s="86"/>
      <c r="AW154" s="28"/>
      <c r="AX154" s="29"/>
      <c r="AY154" s="30"/>
      <c r="AZ154" s="30"/>
      <c r="BA154" s="30"/>
      <c r="BB154" s="30"/>
      <c r="BC154" s="30"/>
      <c r="BD154" s="107"/>
      <c r="BE154" s="108"/>
      <c r="BF154" s="27"/>
    </row>
    <row r="155" spans="1:58">
      <c r="A155" s="95"/>
      <c r="D155" s="27"/>
      <c r="E155" s="27"/>
      <c r="F155" s="27"/>
      <c r="G155" s="27"/>
      <c r="H155" s="27"/>
      <c r="I155" s="27"/>
      <c r="J155" s="28"/>
      <c r="K155" s="27"/>
      <c r="L155" s="27"/>
      <c r="M155" s="27"/>
      <c r="N155" s="28"/>
      <c r="O155" s="27"/>
      <c r="P155" s="27"/>
      <c r="Q155" s="28"/>
      <c r="R155" s="27"/>
      <c r="S155" s="27"/>
      <c r="T155" s="28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8"/>
      <c r="AS155" s="27"/>
      <c r="AT155" s="27"/>
      <c r="AU155" s="82"/>
      <c r="AV155" s="86"/>
      <c r="AW155" s="28"/>
      <c r="AX155" s="29"/>
      <c r="AY155" s="30"/>
      <c r="AZ155" s="30"/>
      <c r="BA155" s="30"/>
      <c r="BB155" s="30"/>
      <c r="BC155" s="30"/>
      <c r="BD155" s="107"/>
      <c r="BE155" s="108"/>
      <c r="BF155" s="27"/>
    </row>
    <row r="156" spans="1:58">
      <c r="A156" s="95"/>
      <c r="D156" s="27"/>
      <c r="E156" s="27"/>
      <c r="F156" s="27"/>
      <c r="G156" s="27"/>
      <c r="H156" s="27"/>
      <c r="I156" s="27"/>
      <c r="J156" s="28"/>
      <c r="K156" s="27"/>
      <c r="L156" s="27"/>
      <c r="M156" s="27"/>
      <c r="N156" s="28"/>
      <c r="O156" s="27"/>
      <c r="P156" s="27"/>
      <c r="Q156" s="28"/>
      <c r="R156" s="27"/>
      <c r="S156" s="27"/>
      <c r="T156" s="28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8"/>
      <c r="AS156" s="27"/>
      <c r="AT156" s="27"/>
      <c r="AU156" s="82"/>
      <c r="AV156" s="86"/>
      <c r="AW156" s="28"/>
      <c r="AX156" s="29"/>
      <c r="AY156" s="30"/>
      <c r="AZ156" s="30"/>
      <c r="BA156" s="30"/>
      <c r="BB156" s="30"/>
      <c r="BC156" s="30"/>
      <c r="BD156" s="107"/>
      <c r="BE156" s="108"/>
      <c r="BF156" s="27"/>
    </row>
    <row r="157" spans="1:58">
      <c r="A157" s="95"/>
      <c r="D157" s="27"/>
      <c r="E157" s="27"/>
      <c r="F157" s="27"/>
      <c r="G157" s="27"/>
      <c r="H157" s="27"/>
      <c r="I157" s="27"/>
      <c r="J157" s="28"/>
      <c r="K157" s="27"/>
      <c r="L157" s="27"/>
      <c r="M157" s="27"/>
      <c r="N157" s="28"/>
      <c r="O157" s="27"/>
      <c r="P157" s="27"/>
      <c r="Q157" s="28"/>
      <c r="R157" s="27"/>
      <c r="S157" s="27"/>
      <c r="T157" s="28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8"/>
      <c r="AS157" s="27"/>
      <c r="AT157" s="27"/>
      <c r="AU157" s="82"/>
      <c r="AV157" s="86"/>
      <c r="AW157" s="28"/>
      <c r="AX157" s="29"/>
      <c r="AY157" s="30"/>
      <c r="AZ157" s="30"/>
      <c r="BA157" s="30"/>
      <c r="BB157" s="30"/>
      <c r="BC157" s="30"/>
      <c r="BD157" s="107"/>
      <c r="BE157" s="108"/>
      <c r="BF157" s="27"/>
    </row>
    <row r="158" spans="1:58">
      <c r="A158" s="95"/>
      <c r="D158" s="27"/>
      <c r="E158" s="27"/>
      <c r="F158" s="27"/>
      <c r="G158" s="27"/>
      <c r="H158" s="27"/>
      <c r="I158" s="27"/>
      <c r="J158" s="28"/>
      <c r="K158" s="27"/>
      <c r="L158" s="27"/>
      <c r="M158" s="27"/>
      <c r="N158" s="28"/>
      <c r="O158" s="27"/>
      <c r="P158" s="27"/>
      <c r="Q158" s="28"/>
      <c r="R158" s="27"/>
      <c r="S158" s="27"/>
      <c r="T158" s="28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8"/>
      <c r="AS158" s="27"/>
      <c r="AT158" s="27"/>
      <c r="AU158" s="82"/>
      <c r="AV158" s="86"/>
      <c r="AW158" s="28"/>
      <c r="AX158" s="29"/>
      <c r="AY158" s="30"/>
      <c r="AZ158" s="30"/>
      <c r="BA158" s="30"/>
      <c r="BB158" s="30"/>
      <c r="BC158" s="30"/>
      <c r="BD158" s="107"/>
      <c r="BE158" s="108"/>
      <c r="BF158" s="27"/>
    </row>
    <row r="159" spans="1:58">
      <c r="A159" s="95"/>
      <c r="D159" s="27"/>
      <c r="E159" s="27"/>
      <c r="F159" s="27"/>
      <c r="G159" s="27"/>
      <c r="H159" s="27"/>
      <c r="I159" s="27"/>
      <c r="J159" s="28"/>
      <c r="K159" s="27"/>
      <c r="L159" s="27"/>
      <c r="M159" s="27"/>
      <c r="N159" s="28"/>
      <c r="O159" s="27"/>
      <c r="P159" s="27"/>
      <c r="Q159" s="28"/>
      <c r="R159" s="27"/>
      <c r="S159" s="27"/>
      <c r="T159" s="28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8"/>
      <c r="AS159" s="27"/>
      <c r="AT159" s="27"/>
      <c r="AU159" s="82"/>
      <c r="AV159" s="86"/>
      <c r="AW159" s="28"/>
      <c r="AX159" s="29"/>
      <c r="AY159" s="30"/>
      <c r="AZ159" s="30"/>
      <c r="BA159" s="30"/>
      <c r="BB159" s="30"/>
      <c r="BC159" s="30"/>
      <c r="BD159" s="107"/>
      <c r="BE159" s="108"/>
      <c r="BF159" s="27"/>
    </row>
    <row r="160" spans="1:58">
      <c r="A160" s="95"/>
      <c r="D160" s="27"/>
      <c r="E160" s="27"/>
      <c r="F160" s="27"/>
      <c r="G160" s="27"/>
      <c r="H160" s="27"/>
      <c r="I160" s="27"/>
      <c r="J160" s="28"/>
      <c r="K160" s="27"/>
      <c r="L160" s="27"/>
      <c r="M160" s="27"/>
      <c r="N160" s="28"/>
      <c r="O160" s="27"/>
      <c r="P160" s="27"/>
      <c r="Q160" s="28"/>
      <c r="R160" s="27"/>
      <c r="S160" s="27"/>
      <c r="T160" s="28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8"/>
      <c r="AS160" s="27"/>
      <c r="AT160" s="27"/>
      <c r="AU160" s="82"/>
      <c r="AV160" s="86"/>
      <c r="AW160" s="28"/>
      <c r="AX160" s="29"/>
      <c r="AY160" s="30"/>
      <c r="AZ160" s="30"/>
      <c r="BA160" s="30"/>
      <c r="BB160" s="30"/>
      <c r="BC160" s="30"/>
      <c r="BD160" s="107"/>
      <c r="BE160" s="108"/>
      <c r="BF160" s="27"/>
    </row>
    <row r="161" spans="1:58">
      <c r="A161" s="95"/>
      <c r="D161" s="27"/>
      <c r="E161" s="27"/>
      <c r="F161" s="27"/>
      <c r="G161" s="27"/>
      <c r="H161" s="27"/>
      <c r="I161" s="27"/>
      <c r="J161" s="28"/>
      <c r="K161" s="27"/>
      <c r="L161" s="27"/>
      <c r="M161" s="27"/>
      <c r="N161" s="28"/>
      <c r="O161" s="27"/>
      <c r="P161" s="27"/>
      <c r="Q161" s="28"/>
      <c r="R161" s="27"/>
      <c r="S161" s="27"/>
      <c r="T161" s="28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8"/>
      <c r="AS161" s="27"/>
      <c r="AT161" s="27"/>
      <c r="AU161" s="82"/>
      <c r="AV161" s="86"/>
      <c r="AW161" s="28"/>
      <c r="AX161" s="29"/>
      <c r="AY161" s="30"/>
      <c r="AZ161" s="30"/>
      <c r="BA161" s="30"/>
      <c r="BB161" s="30"/>
      <c r="BC161" s="30"/>
      <c r="BD161" s="107"/>
      <c r="BE161" s="108"/>
      <c r="BF161" s="27"/>
    </row>
    <row r="162" spans="1:58">
      <c r="A162" s="95"/>
      <c r="D162" s="27"/>
      <c r="E162" s="27"/>
      <c r="F162" s="27"/>
      <c r="G162" s="27"/>
      <c r="H162" s="27"/>
      <c r="I162" s="27"/>
      <c r="J162" s="28"/>
      <c r="K162" s="27"/>
      <c r="L162" s="27"/>
      <c r="M162" s="27"/>
      <c r="N162" s="28"/>
      <c r="O162" s="27"/>
      <c r="P162" s="27"/>
      <c r="Q162" s="28"/>
      <c r="R162" s="27"/>
      <c r="S162" s="27"/>
      <c r="T162" s="28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8"/>
      <c r="AS162" s="27"/>
      <c r="AT162" s="27"/>
      <c r="AU162" s="82"/>
      <c r="AV162" s="86"/>
      <c r="AW162" s="28"/>
      <c r="AX162" s="29"/>
      <c r="AY162" s="30"/>
      <c r="AZ162" s="30"/>
      <c r="BA162" s="30"/>
      <c r="BB162" s="30"/>
      <c r="BC162" s="30"/>
      <c r="BD162" s="107"/>
      <c r="BE162" s="108"/>
      <c r="BF162" s="27"/>
    </row>
    <row r="163" spans="1:58">
      <c r="A163" s="95"/>
      <c r="D163" s="27"/>
      <c r="E163" s="27"/>
      <c r="F163" s="27"/>
      <c r="G163" s="27"/>
      <c r="H163" s="27"/>
      <c r="I163" s="27"/>
      <c r="J163" s="28"/>
      <c r="K163" s="27"/>
      <c r="L163" s="27"/>
      <c r="M163" s="27"/>
      <c r="N163" s="28"/>
      <c r="O163" s="27"/>
      <c r="P163" s="27"/>
      <c r="Q163" s="28"/>
      <c r="R163" s="27"/>
      <c r="S163" s="27"/>
      <c r="T163" s="28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8"/>
      <c r="AS163" s="27"/>
      <c r="AT163" s="27"/>
      <c r="AU163" s="82"/>
      <c r="AV163" s="86"/>
      <c r="AW163" s="28"/>
      <c r="AX163" s="29"/>
      <c r="AY163" s="30"/>
      <c r="AZ163" s="30"/>
      <c r="BA163" s="30"/>
      <c r="BB163" s="30"/>
      <c r="BC163" s="30"/>
      <c r="BD163" s="107"/>
      <c r="BE163" s="108"/>
      <c r="BF163" s="27"/>
    </row>
    <row r="164" spans="1:58">
      <c r="A164" s="95"/>
      <c r="D164" s="27"/>
      <c r="E164" s="27"/>
      <c r="F164" s="27"/>
      <c r="G164" s="27"/>
      <c r="H164" s="27"/>
      <c r="I164" s="27"/>
      <c r="J164" s="28"/>
      <c r="K164" s="27"/>
      <c r="L164" s="27"/>
      <c r="M164" s="27"/>
      <c r="N164" s="28"/>
      <c r="O164" s="27"/>
      <c r="P164" s="27"/>
      <c r="Q164" s="28"/>
      <c r="R164" s="27"/>
      <c r="S164" s="27"/>
      <c r="T164" s="28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8"/>
      <c r="AS164" s="27"/>
      <c r="AT164" s="27"/>
      <c r="AU164" s="82"/>
      <c r="AV164" s="86"/>
      <c r="AW164" s="28"/>
      <c r="AX164" s="29"/>
      <c r="AY164" s="30"/>
      <c r="AZ164" s="30"/>
      <c r="BA164" s="30"/>
      <c r="BB164" s="30"/>
      <c r="BC164" s="30"/>
      <c r="BD164" s="107"/>
      <c r="BE164" s="108"/>
      <c r="BF164" s="27"/>
    </row>
    <row r="165" spans="1:58">
      <c r="A165" s="95"/>
      <c r="D165" s="27"/>
      <c r="E165" s="27"/>
      <c r="F165" s="27"/>
      <c r="G165" s="27"/>
      <c r="H165" s="27"/>
      <c r="I165" s="27"/>
      <c r="J165" s="28"/>
      <c r="K165" s="27"/>
      <c r="L165" s="27"/>
      <c r="M165" s="27"/>
      <c r="N165" s="28"/>
      <c r="O165" s="27"/>
      <c r="P165" s="27"/>
      <c r="Q165" s="28"/>
      <c r="R165" s="27"/>
      <c r="S165" s="27"/>
      <c r="T165" s="28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8"/>
      <c r="AS165" s="27"/>
      <c r="AT165" s="27"/>
      <c r="AU165" s="82"/>
      <c r="AV165" s="86"/>
      <c r="AW165" s="28"/>
      <c r="AX165" s="29"/>
      <c r="AY165" s="30"/>
      <c r="AZ165" s="30"/>
      <c r="BA165" s="30"/>
      <c r="BB165" s="30"/>
      <c r="BC165" s="30"/>
      <c r="BD165" s="107"/>
      <c r="BE165" s="108"/>
      <c r="BF165" s="27"/>
    </row>
    <row r="166" spans="1:58">
      <c r="A166" s="95"/>
      <c r="D166" s="27"/>
      <c r="E166" s="27"/>
      <c r="F166" s="27"/>
      <c r="G166" s="27"/>
      <c r="H166" s="27"/>
      <c r="I166" s="27"/>
      <c r="J166" s="28"/>
      <c r="K166" s="27"/>
      <c r="L166" s="27"/>
      <c r="M166" s="27"/>
      <c r="N166" s="28"/>
      <c r="O166" s="27"/>
      <c r="P166" s="27"/>
      <c r="Q166" s="28"/>
      <c r="R166" s="27"/>
      <c r="S166" s="27"/>
      <c r="T166" s="28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8"/>
      <c r="AS166" s="27"/>
      <c r="AT166" s="27"/>
      <c r="AU166" s="82"/>
      <c r="AV166" s="86"/>
      <c r="AW166" s="28"/>
      <c r="AX166" s="29"/>
      <c r="AY166" s="30"/>
      <c r="AZ166" s="30"/>
      <c r="BA166" s="30"/>
      <c r="BB166" s="30"/>
      <c r="BC166" s="30"/>
      <c r="BD166" s="107"/>
      <c r="BE166" s="108"/>
      <c r="BF166" s="27"/>
    </row>
    <row r="167" spans="1:58">
      <c r="A167" s="95"/>
      <c r="D167" s="27"/>
      <c r="E167" s="27"/>
      <c r="F167" s="27"/>
      <c r="G167" s="27"/>
      <c r="H167" s="27"/>
      <c r="I167" s="27"/>
      <c r="J167" s="28"/>
      <c r="K167" s="27"/>
      <c r="L167" s="27"/>
      <c r="M167" s="27"/>
      <c r="N167" s="28"/>
      <c r="O167" s="27"/>
      <c r="P167" s="27"/>
      <c r="Q167" s="28"/>
      <c r="R167" s="27"/>
      <c r="S167" s="27"/>
      <c r="T167" s="28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8"/>
      <c r="AS167" s="27"/>
      <c r="AT167" s="27"/>
      <c r="AU167" s="82"/>
      <c r="AV167" s="86"/>
      <c r="AW167" s="28"/>
      <c r="AX167" s="29"/>
      <c r="AY167" s="30"/>
      <c r="AZ167" s="30"/>
      <c r="BA167" s="30"/>
      <c r="BB167" s="30"/>
      <c r="BC167" s="30"/>
      <c r="BD167" s="107"/>
      <c r="BE167" s="108"/>
      <c r="BF167" s="27"/>
    </row>
    <row r="168" spans="1:58">
      <c r="A168" s="95"/>
      <c r="D168" s="27"/>
      <c r="E168" s="27"/>
      <c r="F168" s="27"/>
      <c r="G168" s="27"/>
      <c r="H168" s="27"/>
      <c r="I168" s="27"/>
      <c r="J168" s="28"/>
      <c r="K168" s="27"/>
      <c r="L168" s="27"/>
      <c r="M168" s="27"/>
      <c r="N168" s="28"/>
      <c r="O168" s="27"/>
      <c r="P168" s="27"/>
      <c r="Q168" s="28"/>
      <c r="R168" s="27"/>
      <c r="S168" s="27"/>
      <c r="T168" s="28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8"/>
      <c r="AS168" s="27"/>
      <c r="AT168" s="27"/>
      <c r="AU168" s="82"/>
      <c r="AV168" s="86"/>
      <c r="AW168" s="28"/>
      <c r="AX168" s="29"/>
      <c r="AY168" s="30"/>
      <c r="AZ168" s="30"/>
      <c r="BA168" s="30"/>
      <c r="BB168" s="30"/>
      <c r="BC168" s="30"/>
      <c r="BD168" s="107"/>
      <c r="BE168" s="108"/>
      <c r="BF168" s="27"/>
    </row>
    <row r="169" spans="1:58">
      <c r="A169" s="95"/>
      <c r="D169" s="27"/>
      <c r="E169" s="27"/>
      <c r="F169" s="27"/>
      <c r="G169" s="27"/>
      <c r="H169" s="27"/>
      <c r="I169" s="27"/>
      <c r="J169" s="28"/>
      <c r="K169" s="27"/>
      <c r="L169" s="27"/>
      <c r="M169" s="27"/>
      <c r="N169" s="28"/>
      <c r="O169" s="27"/>
      <c r="P169" s="27"/>
      <c r="Q169" s="28"/>
      <c r="R169" s="27"/>
      <c r="S169" s="27"/>
      <c r="T169" s="28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8"/>
      <c r="AS169" s="27"/>
      <c r="AT169" s="27"/>
      <c r="AU169" s="82"/>
      <c r="AV169" s="86"/>
      <c r="AW169" s="28"/>
      <c r="AX169" s="29"/>
      <c r="AY169" s="30"/>
      <c r="AZ169" s="30"/>
      <c r="BA169" s="30"/>
      <c r="BB169" s="30"/>
      <c r="BC169" s="30"/>
      <c r="BD169" s="107"/>
      <c r="BE169" s="108"/>
      <c r="BF169" s="27"/>
    </row>
    <row r="170" spans="1:58">
      <c r="A170" s="95"/>
      <c r="D170" s="27"/>
      <c r="E170" s="27"/>
      <c r="F170" s="27"/>
      <c r="G170" s="27"/>
      <c r="H170" s="27"/>
      <c r="I170" s="27"/>
      <c r="J170" s="28"/>
      <c r="K170" s="27"/>
      <c r="L170" s="27"/>
      <c r="M170" s="27"/>
      <c r="N170" s="28"/>
      <c r="O170" s="27"/>
      <c r="P170" s="27"/>
      <c r="Q170" s="28"/>
      <c r="R170" s="27"/>
      <c r="S170" s="27"/>
      <c r="T170" s="28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8"/>
      <c r="AS170" s="27"/>
      <c r="AT170" s="27"/>
      <c r="AU170" s="82"/>
      <c r="AV170" s="86"/>
      <c r="AW170" s="28"/>
      <c r="AX170" s="29"/>
      <c r="AY170" s="30"/>
      <c r="AZ170" s="30"/>
      <c r="BA170" s="30"/>
      <c r="BB170" s="30"/>
      <c r="BC170" s="30"/>
      <c r="BD170" s="107"/>
      <c r="BE170" s="108"/>
      <c r="BF170" s="27"/>
    </row>
    <row r="171" spans="1:58">
      <c r="A171" s="95"/>
      <c r="D171" s="27"/>
      <c r="E171" s="27"/>
      <c r="F171" s="27"/>
      <c r="G171" s="27"/>
      <c r="H171" s="27"/>
      <c r="I171" s="27"/>
      <c r="J171" s="28"/>
      <c r="K171" s="27"/>
      <c r="L171" s="27"/>
      <c r="M171" s="27"/>
      <c r="N171" s="28"/>
      <c r="O171" s="27"/>
      <c r="P171" s="27"/>
      <c r="Q171" s="28"/>
      <c r="R171" s="27"/>
      <c r="S171" s="27"/>
      <c r="T171" s="28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8"/>
      <c r="AS171" s="27"/>
      <c r="AT171" s="27"/>
      <c r="AU171" s="82"/>
      <c r="AV171" s="86"/>
      <c r="AW171" s="28"/>
      <c r="AX171" s="29"/>
      <c r="AY171" s="30"/>
      <c r="AZ171" s="30"/>
      <c r="BA171" s="30"/>
      <c r="BB171" s="30"/>
      <c r="BC171" s="30"/>
      <c r="BD171" s="107"/>
      <c r="BE171" s="108"/>
      <c r="BF171" s="27"/>
    </row>
    <row r="172" spans="1:58">
      <c r="A172" s="95"/>
      <c r="D172" s="27"/>
      <c r="E172" s="27"/>
      <c r="F172" s="27"/>
      <c r="G172" s="27"/>
      <c r="H172" s="27"/>
      <c r="I172" s="27"/>
      <c r="J172" s="28"/>
      <c r="K172" s="27"/>
      <c r="L172" s="27"/>
      <c r="M172" s="27"/>
      <c r="N172" s="28"/>
      <c r="O172" s="27"/>
      <c r="P172" s="27"/>
      <c r="Q172" s="28"/>
      <c r="R172" s="27"/>
      <c r="S172" s="27"/>
      <c r="T172" s="28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8"/>
      <c r="AS172" s="27"/>
      <c r="AT172" s="27"/>
      <c r="AU172" s="82"/>
      <c r="AV172" s="86"/>
      <c r="AW172" s="28"/>
      <c r="AX172" s="29"/>
      <c r="AY172" s="30"/>
      <c r="AZ172" s="30"/>
      <c r="BA172" s="30"/>
      <c r="BB172" s="30"/>
      <c r="BC172" s="30"/>
      <c r="BD172" s="107"/>
      <c r="BE172" s="108"/>
      <c r="BF172" s="27"/>
    </row>
    <row r="173" spans="1:58">
      <c r="A173" s="95"/>
      <c r="D173" s="27"/>
      <c r="E173" s="27"/>
      <c r="F173" s="27"/>
      <c r="G173" s="27"/>
      <c r="H173" s="27"/>
      <c r="I173" s="27"/>
      <c r="J173" s="28"/>
      <c r="K173" s="27"/>
      <c r="L173" s="27"/>
      <c r="M173" s="27"/>
      <c r="N173" s="28"/>
      <c r="O173" s="27"/>
      <c r="P173" s="27"/>
      <c r="Q173" s="28"/>
      <c r="R173" s="27"/>
      <c r="S173" s="27"/>
      <c r="T173" s="28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8"/>
      <c r="AS173" s="27"/>
      <c r="AT173" s="27"/>
      <c r="AU173" s="82"/>
      <c r="AV173" s="86"/>
      <c r="AW173" s="28"/>
      <c r="AX173" s="29"/>
      <c r="AY173" s="30"/>
      <c r="AZ173" s="30"/>
      <c r="BA173" s="30"/>
      <c r="BB173" s="30"/>
      <c r="BC173" s="30"/>
      <c r="BD173" s="107"/>
      <c r="BE173" s="108"/>
      <c r="BF173" s="27"/>
    </row>
    <row r="174" spans="1:58">
      <c r="A174" s="95"/>
      <c r="D174" s="27"/>
      <c r="E174" s="27"/>
      <c r="F174" s="27"/>
      <c r="G174" s="27"/>
      <c r="H174" s="27"/>
      <c r="I174" s="27"/>
      <c r="J174" s="28"/>
      <c r="K174" s="27"/>
      <c r="L174" s="27"/>
      <c r="M174" s="27"/>
      <c r="N174" s="28"/>
      <c r="O174" s="27"/>
      <c r="P174" s="27"/>
      <c r="Q174" s="28"/>
      <c r="R174" s="27"/>
      <c r="S174" s="27"/>
      <c r="T174" s="28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28"/>
      <c r="AS174" s="27"/>
      <c r="AT174" s="27"/>
      <c r="AU174" s="82"/>
      <c r="AV174" s="86"/>
      <c r="AW174" s="28"/>
      <c r="AX174" s="29"/>
      <c r="AY174" s="30"/>
      <c r="AZ174" s="30"/>
      <c r="BA174" s="30"/>
      <c r="BB174" s="30"/>
      <c r="BC174" s="30"/>
      <c r="BD174" s="107"/>
      <c r="BE174" s="108"/>
      <c r="BF174" s="27"/>
    </row>
    <row r="175" spans="1:58">
      <c r="A175" s="95"/>
      <c r="D175" s="27"/>
      <c r="E175" s="27"/>
      <c r="F175" s="27"/>
      <c r="G175" s="27"/>
      <c r="H175" s="27"/>
      <c r="I175" s="27"/>
      <c r="J175" s="28"/>
      <c r="K175" s="27"/>
      <c r="L175" s="27"/>
      <c r="M175" s="27"/>
      <c r="N175" s="28"/>
      <c r="O175" s="27"/>
      <c r="P175" s="27"/>
      <c r="Q175" s="28"/>
      <c r="R175" s="27"/>
      <c r="S175" s="27"/>
      <c r="T175" s="28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8"/>
      <c r="AS175" s="27"/>
      <c r="AT175" s="27"/>
      <c r="AU175" s="82"/>
      <c r="AV175" s="86"/>
      <c r="AW175" s="28"/>
      <c r="AX175" s="29"/>
      <c r="AY175" s="30"/>
      <c r="AZ175" s="30"/>
      <c r="BA175" s="30"/>
      <c r="BB175" s="30"/>
      <c r="BC175" s="30"/>
      <c r="BD175" s="107"/>
      <c r="BE175" s="108"/>
      <c r="BF175" s="27"/>
    </row>
    <row r="176" spans="1:58">
      <c r="A176" s="95"/>
      <c r="D176" s="27"/>
      <c r="E176" s="27"/>
      <c r="F176" s="27"/>
      <c r="G176" s="27"/>
      <c r="H176" s="27"/>
      <c r="I176" s="27"/>
      <c r="J176" s="28"/>
      <c r="K176" s="27"/>
      <c r="L176" s="27"/>
      <c r="M176" s="27"/>
      <c r="N176" s="28"/>
      <c r="O176" s="27"/>
      <c r="P176" s="27"/>
      <c r="Q176" s="28"/>
      <c r="R176" s="27"/>
      <c r="S176" s="27"/>
      <c r="T176" s="28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28"/>
      <c r="AS176" s="27"/>
      <c r="AT176" s="27"/>
      <c r="AU176" s="82"/>
      <c r="AV176" s="86"/>
      <c r="AW176" s="28"/>
      <c r="AX176" s="29"/>
      <c r="AY176" s="30"/>
      <c r="AZ176" s="30"/>
      <c r="BA176" s="30"/>
      <c r="BB176" s="30"/>
      <c r="BC176" s="30"/>
      <c r="BD176" s="107"/>
      <c r="BE176" s="108"/>
      <c r="BF176" s="27"/>
    </row>
    <row r="177" spans="1:58">
      <c r="A177" s="95"/>
      <c r="D177" s="27"/>
      <c r="E177" s="27"/>
      <c r="F177" s="27"/>
      <c r="G177" s="27"/>
      <c r="H177" s="27"/>
      <c r="I177" s="27"/>
      <c r="J177" s="28"/>
      <c r="K177" s="27"/>
      <c r="L177" s="27"/>
      <c r="M177" s="27"/>
      <c r="N177" s="28"/>
      <c r="O177" s="27"/>
      <c r="P177" s="27"/>
      <c r="Q177" s="28"/>
      <c r="R177" s="27"/>
      <c r="S177" s="27"/>
      <c r="T177" s="28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8"/>
      <c r="AS177" s="27"/>
      <c r="AT177" s="27"/>
      <c r="AU177" s="82"/>
      <c r="AV177" s="86"/>
      <c r="AW177" s="28"/>
      <c r="AX177" s="29"/>
      <c r="AY177" s="30"/>
      <c r="AZ177" s="30"/>
      <c r="BA177" s="30"/>
      <c r="BB177" s="30"/>
      <c r="BC177" s="30"/>
      <c r="BD177" s="107"/>
      <c r="BE177" s="108"/>
      <c r="BF177" s="27"/>
    </row>
    <row r="178" spans="1:58">
      <c r="A178" s="95"/>
      <c r="D178" s="27"/>
      <c r="E178" s="27"/>
      <c r="F178" s="27"/>
      <c r="G178" s="27"/>
      <c r="H178" s="27"/>
      <c r="I178" s="27"/>
      <c r="J178" s="28"/>
      <c r="K178" s="27"/>
      <c r="L178" s="27"/>
      <c r="M178" s="27"/>
      <c r="N178" s="28"/>
      <c r="O178" s="27"/>
      <c r="P178" s="27"/>
      <c r="Q178" s="28"/>
      <c r="R178" s="27"/>
      <c r="S178" s="27"/>
      <c r="T178" s="28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8"/>
      <c r="AS178" s="27"/>
      <c r="AT178" s="27"/>
      <c r="AU178" s="82"/>
      <c r="AV178" s="86"/>
      <c r="AW178" s="28"/>
      <c r="AX178" s="29"/>
      <c r="AY178" s="30"/>
      <c r="AZ178" s="30"/>
      <c r="BA178" s="30"/>
      <c r="BB178" s="30"/>
      <c r="BC178" s="30"/>
      <c r="BD178" s="107"/>
      <c r="BE178" s="108"/>
      <c r="BF178" s="27"/>
    </row>
    <row r="179" spans="1:58">
      <c r="A179" s="95"/>
      <c r="D179" s="27"/>
      <c r="E179" s="27"/>
      <c r="F179" s="27"/>
      <c r="G179" s="27"/>
      <c r="H179" s="27"/>
      <c r="I179" s="27"/>
      <c r="J179" s="28"/>
      <c r="K179" s="27"/>
      <c r="L179" s="27"/>
      <c r="M179" s="27"/>
      <c r="N179" s="28"/>
      <c r="O179" s="27"/>
      <c r="P179" s="27"/>
      <c r="Q179" s="28"/>
      <c r="R179" s="27"/>
      <c r="S179" s="27"/>
      <c r="T179" s="28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28"/>
      <c r="AS179" s="27"/>
      <c r="AT179" s="27"/>
      <c r="AU179" s="82"/>
      <c r="AV179" s="86"/>
      <c r="AW179" s="28"/>
      <c r="AX179" s="29"/>
      <c r="AY179" s="30"/>
      <c r="AZ179" s="30"/>
      <c r="BA179" s="30"/>
      <c r="BB179" s="30"/>
      <c r="BC179" s="30"/>
      <c r="BD179" s="107"/>
      <c r="BE179" s="108"/>
      <c r="BF179" s="27"/>
    </row>
    <row r="180" spans="1:58">
      <c r="A180" s="95"/>
      <c r="D180" s="27"/>
      <c r="E180" s="27"/>
      <c r="F180" s="27"/>
      <c r="G180" s="27"/>
      <c r="H180" s="27"/>
      <c r="I180" s="27"/>
      <c r="J180" s="28"/>
      <c r="K180" s="27"/>
      <c r="L180" s="27"/>
      <c r="M180" s="27"/>
      <c r="N180" s="28"/>
      <c r="O180" s="27"/>
      <c r="P180" s="27"/>
      <c r="Q180" s="28"/>
      <c r="R180" s="27"/>
      <c r="S180" s="27"/>
      <c r="T180" s="28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8"/>
      <c r="AS180" s="27"/>
      <c r="AT180" s="27"/>
      <c r="AU180" s="82"/>
      <c r="AV180" s="86"/>
      <c r="AW180" s="28"/>
      <c r="AX180" s="29"/>
      <c r="AY180" s="30"/>
      <c r="AZ180" s="30"/>
      <c r="BA180" s="30"/>
      <c r="BB180" s="30"/>
      <c r="BC180" s="30"/>
      <c r="BD180" s="107"/>
      <c r="BE180" s="108"/>
      <c r="BF180" s="27"/>
    </row>
    <row r="181" spans="1:58">
      <c r="A181" s="95"/>
      <c r="D181" s="27"/>
      <c r="E181" s="27"/>
      <c r="F181" s="27"/>
      <c r="G181" s="27"/>
      <c r="H181" s="27"/>
      <c r="I181" s="27"/>
      <c r="J181" s="28"/>
      <c r="K181" s="27"/>
      <c r="L181" s="27"/>
      <c r="M181" s="27"/>
      <c r="N181" s="28"/>
      <c r="O181" s="27"/>
      <c r="P181" s="27"/>
      <c r="Q181" s="28"/>
      <c r="R181" s="27"/>
      <c r="S181" s="27"/>
      <c r="T181" s="28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8"/>
      <c r="AS181" s="27"/>
      <c r="AT181" s="27"/>
      <c r="AU181" s="82"/>
      <c r="AV181" s="86"/>
      <c r="AW181" s="28"/>
      <c r="AX181" s="29"/>
      <c r="AY181" s="30"/>
      <c r="AZ181" s="30"/>
      <c r="BA181" s="30"/>
      <c r="BB181" s="30"/>
      <c r="BC181" s="30"/>
      <c r="BD181" s="107"/>
      <c r="BE181" s="108"/>
      <c r="BF181" s="27"/>
    </row>
    <row r="182" spans="1:58">
      <c r="A182" s="95"/>
      <c r="D182" s="27"/>
      <c r="E182" s="27"/>
      <c r="F182" s="27"/>
      <c r="G182" s="27"/>
      <c r="H182" s="27"/>
      <c r="I182" s="27"/>
      <c r="J182" s="28"/>
      <c r="K182" s="27"/>
      <c r="L182" s="27"/>
      <c r="M182" s="27"/>
      <c r="N182" s="28"/>
      <c r="O182" s="27"/>
      <c r="P182" s="27"/>
      <c r="Q182" s="28"/>
      <c r="R182" s="27"/>
      <c r="S182" s="27"/>
      <c r="T182" s="28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8"/>
      <c r="AS182" s="27"/>
      <c r="AT182" s="27"/>
      <c r="AU182" s="82"/>
      <c r="AV182" s="86"/>
      <c r="AW182" s="28"/>
      <c r="AX182" s="29"/>
      <c r="AY182" s="30"/>
      <c r="AZ182" s="30"/>
      <c r="BA182" s="30"/>
      <c r="BB182" s="30"/>
      <c r="BC182" s="30"/>
      <c r="BD182" s="107"/>
      <c r="BE182" s="108"/>
      <c r="BF182" s="27"/>
    </row>
    <row r="183" spans="1:58">
      <c r="A183" s="95"/>
      <c r="D183" s="27"/>
      <c r="E183" s="27"/>
      <c r="F183" s="27"/>
      <c r="G183" s="27"/>
      <c r="H183" s="27"/>
      <c r="I183" s="27"/>
      <c r="J183" s="28"/>
      <c r="K183" s="27"/>
      <c r="L183" s="27"/>
      <c r="M183" s="27"/>
      <c r="N183" s="28"/>
      <c r="O183" s="27"/>
      <c r="P183" s="27"/>
      <c r="Q183" s="28"/>
      <c r="R183" s="27"/>
      <c r="S183" s="27"/>
      <c r="T183" s="28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8"/>
      <c r="AS183" s="27"/>
      <c r="AT183" s="27"/>
      <c r="AU183" s="82"/>
      <c r="AV183" s="86"/>
      <c r="AW183" s="28"/>
      <c r="AX183" s="29"/>
      <c r="AY183" s="30"/>
      <c r="AZ183" s="30"/>
      <c r="BA183" s="30"/>
      <c r="BB183" s="30"/>
      <c r="BC183" s="30"/>
      <c r="BD183" s="107"/>
      <c r="BE183" s="108"/>
      <c r="BF183" s="27"/>
    </row>
    <row r="184" spans="1:58">
      <c r="A184" s="95"/>
      <c r="D184" s="27"/>
      <c r="E184" s="27"/>
      <c r="F184" s="27"/>
      <c r="G184" s="27"/>
      <c r="H184" s="27"/>
      <c r="I184" s="27"/>
      <c r="J184" s="28"/>
      <c r="K184" s="27"/>
      <c r="L184" s="27"/>
      <c r="M184" s="27"/>
      <c r="N184" s="28"/>
      <c r="O184" s="27"/>
      <c r="P184" s="27"/>
      <c r="Q184" s="28"/>
      <c r="R184" s="27"/>
      <c r="S184" s="27"/>
      <c r="T184" s="28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8"/>
      <c r="AS184" s="27"/>
      <c r="AT184" s="27"/>
      <c r="AU184" s="82"/>
      <c r="AV184" s="86"/>
      <c r="AW184" s="28"/>
      <c r="AX184" s="29"/>
      <c r="AY184" s="30"/>
      <c r="AZ184" s="30"/>
      <c r="BA184" s="30"/>
      <c r="BB184" s="30"/>
      <c r="BC184" s="30"/>
      <c r="BD184" s="107"/>
      <c r="BE184" s="108"/>
      <c r="BF184" s="27"/>
    </row>
    <row r="185" spans="1:58">
      <c r="A185" s="95"/>
      <c r="D185" s="27"/>
      <c r="E185" s="27"/>
      <c r="F185" s="27"/>
      <c r="G185" s="27"/>
      <c r="H185" s="27"/>
      <c r="I185" s="27"/>
      <c r="J185" s="28"/>
      <c r="K185" s="27"/>
      <c r="L185" s="27"/>
      <c r="M185" s="27"/>
      <c r="N185" s="28"/>
      <c r="O185" s="27"/>
      <c r="P185" s="27"/>
      <c r="Q185" s="28"/>
      <c r="R185" s="27"/>
      <c r="S185" s="27"/>
      <c r="T185" s="28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8"/>
      <c r="AS185" s="27"/>
      <c r="AT185" s="27"/>
      <c r="AU185" s="82"/>
      <c r="AV185" s="86"/>
      <c r="AW185" s="28"/>
      <c r="AX185" s="29"/>
      <c r="AY185" s="30"/>
      <c r="AZ185" s="30"/>
      <c r="BA185" s="30"/>
      <c r="BB185" s="30"/>
      <c r="BC185" s="30"/>
      <c r="BD185" s="107"/>
      <c r="BE185" s="108"/>
      <c r="BF185" s="27"/>
    </row>
    <row r="186" spans="1:58">
      <c r="A186" s="95"/>
      <c r="D186" s="27"/>
      <c r="E186" s="27"/>
      <c r="F186" s="27"/>
      <c r="G186" s="27"/>
      <c r="H186" s="27"/>
      <c r="I186" s="27"/>
      <c r="J186" s="28"/>
      <c r="K186" s="27"/>
      <c r="L186" s="27"/>
      <c r="M186" s="27"/>
      <c r="N186" s="28"/>
      <c r="O186" s="27"/>
      <c r="P186" s="27"/>
      <c r="Q186" s="28"/>
      <c r="R186" s="27"/>
      <c r="S186" s="27"/>
      <c r="T186" s="28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8"/>
      <c r="AS186" s="27"/>
      <c r="AT186" s="27"/>
      <c r="AU186" s="82"/>
      <c r="AV186" s="86"/>
      <c r="AW186" s="28"/>
      <c r="AX186" s="29"/>
      <c r="AY186" s="30"/>
      <c r="AZ186" s="30"/>
      <c r="BA186" s="30"/>
      <c r="BB186" s="30"/>
      <c r="BC186" s="30"/>
      <c r="BD186" s="107"/>
      <c r="BE186" s="108"/>
      <c r="BF186" s="27"/>
    </row>
    <row r="187" spans="1:58">
      <c r="A187" s="95"/>
      <c r="D187" s="27"/>
      <c r="E187" s="27"/>
      <c r="F187" s="27"/>
      <c r="G187" s="27"/>
      <c r="H187" s="27"/>
      <c r="I187" s="27"/>
      <c r="J187" s="28"/>
      <c r="K187" s="27"/>
      <c r="L187" s="27"/>
      <c r="M187" s="27"/>
      <c r="N187" s="28"/>
      <c r="O187" s="27"/>
      <c r="P187" s="27"/>
      <c r="Q187" s="28"/>
      <c r="R187" s="27"/>
      <c r="S187" s="27"/>
      <c r="T187" s="28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8"/>
      <c r="AS187" s="27"/>
      <c r="AT187" s="27"/>
      <c r="AU187" s="82"/>
      <c r="AV187" s="86"/>
      <c r="AW187" s="28"/>
      <c r="AX187" s="29"/>
      <c r="AY187" s="30"/>
      <c r="AZ187" s="30"/>
      <c r="BA187" s="30"/>
      <c r="BB187" s="30"/>
      <c r="BC187" s="30"/>
      <c r="BD187" s="107"/>
      <c r="BE187" s="108"/>
      <c r="BF187" s="27"/>
    </row>
    <row r="188" spans="1:58">
      <c r="A188" s="95"/>
      <c r="D188" s="27"/>
      <c r="E188" s="27"/>
      <c r="F188" s="27"/>
      <c r="G188" s="27"/>
      <c r="H188" s="27"/>
      <c r="I188" s="27"/>
      <c r="J188" s="28"/>
      <c r="K188" s="27"/>
      <c r="L188" s="27"/>
      <c r="M188" s="27"/>
      <c r="N188" s="28"/>
      <c r="O188" s="27"/>
      <c r="P188" s="27"/>
      <c r="Q188" s="28"/>
      <c r="R188" s="27"/>
      <c r="S188" s="27"/>
      <c r="T188" s="28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8"/>
      <c r="AS188" s="27"/>
      <c r="AT188" s="27"/>
      <c r="AU188" s="82"/>
      <c r="AV188" s="86"/>
      <c r="AW188" s="28"/>
      <c r="AX188" s="29"/>
      <c r="AY188" s="30"/>
      <c r="AZ188" s="30"/>
      <c r="BA188" s="30"/>
      <c r="BB188" s="30"/>
      <c r="BC188" s="30"/>
      <c r="BD188" s="107"/>
      <c r="BE188" s="108"/>
      <c r="BF188" s="27"/>
    </row>
    <row r="189" spans="1:58">
      <c r="A189" s="95"/>
      <c r="D189" s="27"/>
      <c r="E189" s="27"/>
      <c r="F189" s="27"/>
      <c r="G189" s="27"/>
      <c r="H189" s="27"/>
      <c r="I189" s="27"/>
      <c r="J189" s="28"/>
      <c r="K189" s="27"/>
      <c r="L189" s="27"/>
      <c r="M189" s="27"/>
      <c r="N189" s="28"/>
      <c r="O189" s="27"/>
      <c r="P189" s="27"/>
      <c r="Q189" s="28"/>
      <c r="R189" s="27"/>
      <c r="S189" s="27"/>
      <c r="T189" s="28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8"/>
      <c r="AS189" s="27"/>
      <c r="AT189" s="27"/>
      <c r="AU189" s="82"/>
      <c r="AV189" s="86"/>
      <c r="AW189" s="28"/>
      <c r="AX189" s="29"/>
      <c r="AY189" s="30"/>
      <c r="AZ189" s="30"/>
      <c r="BA189" s="30"/>
      <c r="BB189" s="30"/>
      <c r="BC189" s="30"/>
      <c r="BD189" s="107"/>
      <c r="BE189" s="108"/>
      <c r="BF189" s="27"/>
    </row>
    <row r="190" spans="1:58">
      <c r="A190" s="95"/>
      <c r="D190" s="27"/>
      <c r="E190" s="27"/>
      <c r="F190" s="27"/>
      <c r="G190" s="27"/>
      <c r="H190" s="27"/>
      <c r="I190" s="27"/>
      <c r="J190" s="28"/>
      <c r="K190" s="27"/>
      <c r="L190" s="27"/>
      <c r="M190" s="27"/>
      <c r="N190" s="28"/>
      <c r="O190" s="27"/>
      <c r="P190" s="27"/>
      <c r="Q190" s="28"/>
      <c r="R190" s="27"/>
      <c r="S190" s="27"/>
      <c r="T190" s="28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8"/>
      <c r="AS190" s="27"/>
      <c r="AT190" s="27"/>
      <c r="AU190" s="82"/>
      <c r="AV190" s="86"/>
      <c r="AW190" s="28"/>
      <c r="AX190" s="29"/>
      <c r="AY190" s="30"/>
      <c r="AZ190" s="30"/>
      <c r="BA190" s="30"/>
      <c r="BB190" s="30"/>
      <c r="BC190" s="30"/>
      <c r="BD190" s="107"/>
      <c r="BE190" s="108"/>
      <c r="BF190" s="27"/>
    </row>
    <row r="191" spans="1:58">
      <c r="A191" s="95"/>
      <c r="D191" s="27"/>
      <c r="E191" s="27"/>
      <c r="F191" s="27"/>
      <c r="G191" s="27"/>
      <c r="H191" s="27"/>
      <c r="I191" s="27"/>
      <c r="J191" s="28"/>
      <c r="K191" s="27"/>
      <c r="L191" s="27"/>
      <c r="M191" s="27"/>
      <c r="N191" s="28"/>
      <c r="O191" s="27"/>
      <c r="P191" s="27"/>
      <c r="Q191" s="28"/>
      <c r="R191" s="27"/>
      <c r="S191" s="27"/>
      <c r="T191" s="28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8"/>
      <c r="AS191" s="27"/>
      <c r="AT191" s="27"/>
      <c r="AU191" s="82"/>
      <c r="AV191" s="86"/>
      <c r="AW191" s="28"/>
      <c r="AX191" s="29"/>
      <c r="AY191" s="30"/>
      <c r="AZ191" s="30"/>
      <c r="BA191" s="30"/>
      <c r="BB191" s="30"/>
      <c r="BC191" s="30"/>
      <c r="BD191" s="107"/>
      <c r="BE191" s="108"/>
      <c r="BF191" s="27"/>
    </row>
    <row r="192" spans="1:58">
      <c r="A192" s="95"/>
      <c r="D192" s="27"/>
      <c r="E192" s="27"/>
      <c r="F192" s="27"/>
      <c r="G192" s="27"/>
      <c r="H192" s="27"/>
      <c r="I192" s="27"/>
      <c r="J192" s="28"/>
      <c r="K192" s="27"/>
      <c r="L192" s="27"/>
      <c r="M192" s="27"/>
      <c r="N192" s="28"/>
      <c r="O192" s="27"/>
      <c r="P192" s="27"/>
      <c r="Q192" s="28"/>
      <c r="R192" s="27"/>
      <c r="S192" s="27"/>
      <c r="T192" s="28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8"/>
      <c r="AS192" s="27"/>
      <c r="AT192" s="27"/>
      <c r="AU192" s="82"/>
      <c r="AV192" s="86"/>
      <c r="AW192" s="28"/>
      <c r="AX192" s="29"/>
      <c r="AY192" s="30"/>
      <c r="AZ192" s="30"/>
      <c r="BA192" s="30"/>
      <c r="BB192" s="30"/>
      <c r="BC192" s="30"/>
      <c r="BD192" s="107"/>
      <c r="BE192" s="108"/>
      <c r="BF192" s="27"/>
    </row>
    <row r="193" spans="1:58">
      <c r="A193" s="95"/>
      <c r="D193" s="27"/>
      <c r="E193" s="27"/>
      <c r="F193" s="27"/>
      <c r="G193" s="27"/>
      <c r="H193" s="27"/>
      <c r="I193" s="27"/>
      <c r="J193" s="28"/>
      <c r="K193" s="27"/>
      <c r="L193" s="27"/>
      <c r="M193" s="27"/>
      <c r="N193" s="28"/>
      <c r="O193" s="27"/>
      <c r="P193" s="27"/>
      <c r="Q193" s="28"/>
      <c r="R193" s="27"/>
      <c r="S193" s="27"/>
      <c r="T193" s="28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8"/>
      <c r="AS193" s="27"/>
      <c r="AT193" s="27"/>
      <c r="AU193" s="82"/>
      <c r="AV193" s="86"/>
      <c r="AW193" s="28"/>
      <c r="AX193" s="29"/>
      <c r="AY193" s="30"/>
      <c r="AZ193" s="30"/>
      <c r="BA193" s="30"/>
      <c r="BB193" s="30"/>
      <c r="BC193" s="30"/>
      <c r="BD193" s="107"/>
      <c r="BE193" s="108"/>
      <c r="BF193" s="27"/>
    </row>
    <row r="194" spans="1:58">
      <c r="A194" s="95"/>
      <c r="D194" s="27"/>
      <c r="E194" s="27"/>
      <c r="F194" s="27"/>
      <c r="G194" s="27"/>
      <c r="H194" s="27"/>
      <c r="I194" s="27"/>
      <c r="J194" s="28"/>
      <c r="K194" s="27"/>
      <c r="L194" s="27"/>
      <c r="M194" s="27"/>
      <c r="N194" s="28"/>
      <c r="O194" s="27"/>
      <c r="P194" s="27"/>
      <c r="Q194" s="28"/>
      <c r="R194" s="27"/>
      <c r="S194" s="27"/>
      <c r="T194" s="28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8"/>
      <c r="AS194" s="27"/>
      <c r="AT194" s="27"/>
      <c r="AU194" s="82"/>
      <c r="AV194" s="86"/>
      <c r="AW194" s="28"/>
      <c r="AX194" s="29"/>
      <c r="AY194" s="30"/>
      <c r="AZ194" s="30"/>
      <c r="BA194" s="30"/>
      <c r="BB194" s="30"/>
      <c r="BC194" s="30"/>
      <c r="BD194" s="107"/>
      <c r="BE194" s="108"/>
      <c r="BF194" s="27"/>
    </row>
    <row r="195" spans="1:58">
      <c r="A195" s="95"/>
      <c r="D195" s="27"/>
      <c r="E195" s="27"/>
      <c r="F195" s="27"/>
      <c r="G195" s="27"/>
      <c r="H195" s="27"/>
      <c r="I195" s="27"/>
      <c r="J195" s="28"/>
      <c r="K195" s="27"/>
      <c r="L195" s="27"/>
      <c r="M195" s="27"/>
      <c r="N195" s="28"/>
      <c r="O195" s="27"/>
      <c r="P195" s="27"/>
      <c r="Q195" s="28"/>
      <c r="R195" s="27"/>
      <c r="S195" s="27"/>
      <c r="T195" s="28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8"/>
      <c r="AS195" s="27"/>
      <c r="AT195" s="27"/>
      <c r="AU195" s="82"/>
      <c r="AV195" s="86"/>
      <c r="AW195" s="28"/>
      <c r="AX195" s="29"/>
      <c r="AY195" s="30"/>
      <c r="AZ195" s="30"/>
      <c r="BA195" s="30"/>
      <c r="BB195" s="30"/>
      <c r="BC195" s="30"/>
      <c r="BD195" s="107"/>
      <c r="BE195" s="108"/>
      <c r="BF195" s="27"/>
    </row>
    <row r="196" spans="1:58">
      <c r="A196" s="95"/>
      <c r="D196" s="27"/>
      <c r="E196" s="27"/>
      <c r="F196" s="27"/>
      <c r="G196" s="27"/>
      <c r="H196" s="27"/>
      <c r="I196" s="27"/>
      <c r="J196" s="28"/>
      <c r="K196" s="27"/>
      <c r="L196" s="27"/>
      <c r="M196" s="27"/>
      <c r="N196" s="28"/>
      <c r="O196" s="27"/>
      <c r="P196" s="27"/>
      <c r="Q196" s="28"/>
      <c r="R196" s="27"/>
      <c r="S196" s="27"/>
      <c r="T196" s="28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8"/>
      <c r="AS196" s="27"/>
      <c r="AT196" s="27"/>
      <c r="AU196" s="82"/>
      <c r="AV196" s="86"/>
      <c r="AW196" s="28"/>
      <c r="AX196" s="29"/>
      <c r="AY196" s="30"/>
      <c r="AZ196" s="30"/>
      <c r="BA196" s="30"/>
      <c r="BB196" s="30"/>
      <c r="BC196" s="30"/>
      <c r="BD196" s="107"/>
      <c r="BE196" s="108"/>
      <c r="BF196" s="27"/>
    </row>
    <row r="197" spans="1:58">
      <c r="A197" s="95"/>
      <c r="D197" s="27"/>
      <c r="E197" s="27"/>
      <c r="F197" s="27"/>
      <c r="G197" s="27"/>
      <c r="H197" s="27"/>
      <c r="I197" s="27"/>
      <c r="J197" s="28"/>
      <c r="K197" s="27"/>
      <c r="L197" s="27"/>
      <c r="M197" s="27"/>
      <c r="N197" s="28"/>
      <c r="O197" s="27"/>
      <c r="P197" s="27"/>
      <c r="Q197" s="28"/>
      <c r="R197" s="27"/>
      <c r="S197" s="27"/>
      <c r="T197" s="28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8"/>
      <c r="AS197" s="27"/>
      <c r="AT197" s="27"/>
      <c r="AU197" s="82"/>
      <c r="AV197" s="86"/>
      <c r="AW197" s="28"/>
      <c r="AX197" s="29"/>
      <c r="AY197" s="30"/>
      <c r="AZ197" s="30"/>
      <c r="BA197" s="30"/>
      <c r="BB197" s="30"/>
      <c r="BC197" s="30"/>
      <c r="BD197" s="107"/>
      <c r="BE197" s="108"/>
      <c r="BF197" s="27"/>
    </row>
    <row r="198" spans="1:58">
      <c r="A198" s="95"/>
      <c r="D198" s="27"/>
      <c r="E198" s="27"/>
      <c r="F198" s="27"/>
      <c r="G198" s="27"/>
      <c r="H198" s="27"/>
      <c r="I198" s="27"/>
      <c r="J198" s="28"/>
      <c r="K198" s="27"/>
      <c r="L198" s="27"/>
      <c r="M198" s="27"/>
      <c r="N198" s="28"/>
      <c r="O198" s="27"/>
      <c r="P198" s="27"/>
      <c r="Q198" s="28"/>
      <c r="R198" s="27"/>
      <c r="S198" s="27"/>
      <c r="T198" s="28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8"/>
      <c r="AS198" s="27"/>
      <c r="AT198" s="27"/>
      <c r="AU198" s="82"/>
      <c r="AV198" s="86"/>
      <c r="AW198" s="28"/>
      <c r="AX198" s="29"/>
      <c r="AY198" s="30"/>
      <c r="AZ198" s="30"/>
      <c r="BA198" s="30"/>
      <c r="BB198" s="30"/>
      <c r="BC198" s="30"/>
      <c r="BD198" s="107"/>
      <c r="BE198" s="108"/>
      <c r="BF198" s="27"/>
    </row>
    <row r="199" spans="1:58">
      <c r="A199" s="95"/>
      <c r="D199" s="27"/>
      <c r="E199" s="27"/>
      <c r="F199" s="27"/>
      <c r="G199" s="27"/>
      <c r="H199" s="27"/>
      <c r="I199" s="27"/>
      <c r="J199" s="28"/>
      <c r="K199" s="27"/>
      <c r="L199" s="27"/>
      <c r="M199" s="27"/>
      <c r="N199" s="28"/>
      <c r="O199" s="27"/>
      <c r="P199" s="27"/>
      <c r="Q199" s="28"/>
      <c r="R199" s="27"/>
      <c r="S199" s="27"/>
      <c r="T199" s="28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8"/>
      <c r="AS199" s="27"/>
      <c r="AT199" s="27"/>
      <c r="AU199" s="82"/>
      <c r="AV199" s="86"/>
      <c r="AW199" s="28"/>
      <c r="AX199" s="29"/>
      <c r="AY199" s="30"/>
      <c r="AZ199" s="30"/>
      <c r="BA199" s="30"/>
      <c r="BB199" s="30"/>
      <c r="BC199" s="30"/>
      <c r="BD199" s="107"/>
      <c r="BE199" s="108"/>
      <c r="BF199" s="27"/>
    </row>
  </sheetData>
  <autoFilter ref="A10:BN92">
    <filterColumn colId="7">
      <filters>
        <filter val="22"/>
        <filter val="23"/>
        <filter val="24"/>
        <filter val="25"/>
        <filter val="26"/>
      </filters>
    </filterColumn>
    <filterColumn colId="9"/>
    <sortState ref="A11:BN92">
      <sortCondition ref="A11:A92" customList="ML,AAA,AA,A,S A"/>
      <sortCondition descending="1" ref="AX11:AX92"/>
      <sortCondition descending="1" ref="AZ11:AZ92"/>
      <sortCondition ref="B11:B92" customList="SP,MR,RP,CL,DL"/>
    </sortState>
  </autoFilter>
  <sortState ref="A11:BN91">
    <sortCondition ref="A11:A91" customList="ML,AAA,AA,A,S A"/>
    <sortCondition ref="B11:B91" customList="SP,MR,RP,CL,DL"/>
    <sortCondition descending="1" ref="AX11:AX91"/>
    <sortCondition descending="1" ref="AZ11:AZ91"/>
    <sortCondition descending="1" ref="BH11:BH91"/>
    <sortCondition descending="1" ref="C11:C91"/>
    <sortCondition ref="E11:E91"/>
  </sortState>
  <phoneticPr fontId="2" type="noConversion"/>
  <conditionalFormatting sqref="K11:L199">
    <cfRule type="expression" dxfId="91" priority="1">
      <formula>IF(K11&lt;&gt;"1 star",1,0)</formula>
    </cfRule>
  </conditionalFormatting>
  <conditionalFormatting sqref="A11:XFD199">
    <cfRule type="expression" dxfId="90" priority="2">
      <formula>IF(MOD(ROW(),2)=1,1,0)</formula>
    </cfRule>
  </conditionalFormatting>
  <conditionalFormatting sqref="A11:XFD199">
    <cfRule type="expression" dxfId="89" priority="5">
      <formula>IF($BJ11&lt;18,1,0)</formula>
    </cfRule>
  </conditionalFormatting>
  <conditionalFormatting sqref="A11:BN199">
    <cfRule type="expression" dxfId="88" priority="3">
      <formula>IF($BJ11&lt;12,1,0)</formula>
    </cfRule>
    <cfRule type="expression" dxfId="87" priority="4">
      <formula>IF($BJ11&lt;15,1,0)</formula>
    </cfRule>
  </conditionalFormatting>
  <pageMargins left="0.75" right="0.75" top="1" bottom="1" header="0.5" footer="0.5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 published="0">
    <tabColor theme="3" tint="0.39997558519241921"/>
  </sheetPr>
  <dimension ref="A1:AZ72"/>
  <sheetViews>
    <sheetView zoomScale="85" zoomScaleNormal="85" workbookViewId="0">
      <selection activeCell="C12" sqref="C12"/>
    </sheetView>
  </sheetViews>
  <sheetFormatPr defaultRowHeight="15"/>
  <cols>
    <col min="1" max="1" width="3.140625" customWidth="1"/>
    <col min="2" max="2" width="10.7109375" style="1" bestFit="1" customWidth="1"/>
    <col min="3" max="3" width="20" style="26" bestFit="1" customWidth="1"/>
    <col min="4" max="4" width="4.5703125" style="26" customWidth="1"/>
    <col min="5" max="5" width="4.42578125" style="26" customWidth="1"/>
    <col min="6" max="6" width="4.42578125" bestFit="1" customWidth="1"/>
    <col min="7" max="7" width="3.7109375" bestFit="1" customWidth="1"/>
    <col min="8" max="8" width="4.7109375" bestFit="1" customWidth="1"/>
    <col min="9" max="9" width="4.28515625" customWidth="1"/>
    <col min="10" max="12" width="3.7109375" customWidth="1"/>
    <col min="13" max="16" width="3.7109375" bestFit="1" customWidth="1"/>
    <col min="17" max="17" width="4.28515625" bestFit="1" customWidth="1"/>
    <col min="18" max="18" width="4.7109375" bestFit="1" customWidth="1"/>
    <col min="19" max="21" width="3.7109375" bestFit="1" customWidth="1"/>
    <col min="22" max="22" width="4.28515625" bestFit="1" customWidth="1"/>
    <col min="23" max="23" width="4.7109375" bestFit="1" customWidth="1"/>
    <col min="24" max="24" width="4.28515625" customWidth="1"/>
    <col min="25" max="25" width="4.28515625" bestFit="1" customWidth="1"/>
    <col min="26" max="26" width="11.42578125" bestFit="1" customWidth="1"/>
    <col min="27" max="27" width="4.28515625" bestFit="1" customWidth="1"/>
    <col min="28" max="29" width="4.7109375" bestFit="1" customWidth="1"/>
    <col min="30" max="32" width="4.28515625" bestFit="1" customWidth="1"/>
    <col min="33" max="33" width="6.28515625" customWidth="1"/>
    <col min="34" max="36" width="3.7109375" bestFit="1" customWidth="1"/>
    <col min="37" max="37" width="4.5703125" bestFit="1" customWidth="1"/>
    <col min="38" max="51" width="3.7109375" bestFit="1" customWidth="1"/>
    <col min="52" max="52" width="4.5703125" bestFit="1" customWidth="1"/>
  </cols>
  <sheetData>
    <row r="1" spans="1:52">
      <c r="C1" s="290" t="s">
        <v>538</v>
      </c>
      <c r="D1" s="290" t="s">
        <v>539</v>
      </c>
    </row>
    <row r="2" spans="1:52">
      <c r="B2" s="290" t="s">
        <v>540</v>
      </c>
      <c r="C2" s="291">
        <v>6.5</v>
      </c>
      <c r="D2" s="291">
        <v>5</v>
      </c>
    </row>
    <row r="3" spans="1:52">
      <c r="B3" s="290" t="s">
        <v>541</v>
      </c>
      <c r="C3" s="291">
        <v>6.25</v>
      </c>
      <c r="D3" s="291">
        <v>4.5</v>
      </c>
    </row>
    <row r="4" spans="1:52">
      <c r="D4" s="26">
        <v>4</v>
      </c>
      <c r="E4" s="26">
        <v>5</v>
      </c>
      <c r="J4">
        <v>23</v>
      </c>
      <c r="K4">
        <v>21</v>
      </c>
      <c r="L4">
        <v>22</v>
      </c>
      <c r="M4">
        <v>24</v>
      </c>
      <c r="N4">
        <v>25</v>
      </c>
      <c r="O4">
        <v>26</v>
      </c>
      <c r="P4">
        <v>27</v>
      </c>
      <c r="Q4">
        <v>28</v>
      </c>
      <c r="R4">
        <v>29</v>
      </c>
      <c r="S4">
        <v>30</v>
      </c>
      <c r="T4">
        <v>31</v>
      </c>
      <c r="AD4">
        <v>11</v>
      </c>
      <c r="AE4">
        <v>12</v>
      </c>
      <c r="AF4">
        <v>13</v>
      </c>
      <c r="AG4">
        <v>14</v>
      </c>
      <c r="AH4">
        <v>15</v>
      </c>
      <c r="AI4">
        <v>32</v>
      </c>
      <c r="AJ4">
        <v>33</v>
      </c>
      <c r="AU4">
        <v>16</v>
      </c>
      <c r="AV4">
        <v>17</v>
      </c>
      <c r="AW4">
        <v>18</v>
      </c>
      <c r="AX4">
        <v>19</v>
      </c>
      <c r="AY4">
        <v>20</v>
      </c>
    </row>
    <row r="5" spans="1:52" s="24" customFormat="1" ht="215.25">
      <c r="A5" s="25" t="s">
        <v>193</v>
      </c>
      <c r="B5" s="270" t="s">
        <v>124</v>
      </c>
      <c r="C5" s="44" t="str">
        <f>"Player ("&amp;COUNTA(C6:C17)&amp;")"</f>
        <v>Player (4)</v>
      </c>
      <c r="D5" s="44" t="s">
        <v>91</v>
      </c>
      <c r="E5" s="44" t="s">
        <v>101</v>
      </c>
      <c r="F5" s="51" t="str">
        <f>"Only 1 guy who plays only 1B ("&amp;SUM(F6:F17)&amp;")"</f>
        <v>Only 1 guy who plays only 1B (1)</v>
      </c>
      <c r="G5" s="45" t="str">
        <f>"Only 1 guy who can only play 1B or LF ("&amp;SUM(G6:G17)&amp;")"</f>
        <v>Only 1 guy who can only play 1B or LF (1)</v>
      </c>
      <c r="H5" s="46" t="str">
        <f>"2 guys with RF arms ("&amp;SUM(H6:H17)&amp;")"</f>
        <v>2 guys with RF arms (1)</v>
      </c>
      <c r="I5" s="46" t="str">
        <f>"2 guys with CF range ("&amp;SUM(I6:I17)&amp;")"</f>
        <v>2 guys with CF range (1)</v>
      </c>
      <c r="J5" s="55" t="s">
        <v>136</v>
      </c>
      <c r="K5" s="47" t="s">
        <v>134</v>
      </c>
      <c r="L5" s="56" t="s">
        <v>135</v>
      </c>
      <c r="M5" s="48" t="s">
        <v>92</v>
      </c>
      <c r="N5" s="48" t="s">
        <v>94</v>
      </c>
      <c r="O5" s="48" t="s">
        <v>95</v>
      </c>
      <c r="P5" s="48" t="s">
        <v>96</v>
      </c>
      <c r="Q5" s="48" t="s">
        <v>97</v>
      </c>
      <c r="R5" s="48" t="s">
        <v>98</v>
      </c>
      <c r="S5" s="48" t="s">
        <v>99</v>
      </c>
      <c r="T5" s="49" t="s">
        <v>100</v>
      </c>
      <c r="U5" s="51" t="s">
        <v>137</v>
      </c>
      <c r="V5" s="45" t="s">
        <v>181</v>
      </c>
      <c r="W5" s="45" t="s">
        <v>138</v>
      </c>
      <c r="X5" s="45" t="s">
        <v>154</v>
      </c>
      <c r="Y5" s="45" t="s">
        <v>153</v>
      </c>
      <c r="Z5" s="45" t="s">
        <v>141</v>
      </c>
      <c r="AA5" s="45" t="s">
        <v>142</v>
      </c>
      <c r="AB5" s="45" t="s">
        <v>159</v>
      </c>
      <c r="AC5" s="60" t="s">
        <v>143</v>
      </c>
      <c r="AD5" s="48" t="s">
        <v>147</v>
      </c>
      <c r="AE5" s="48" t="s">
        <v>148</v>
      </c>
      <c r="AF5" s="48" t="s">
        <v>149</v>
      </c>
      <c r="AG5" s="48" t="s">
        <v>150</v>
      </c>
      <c r="AH5" s="48" t="s">
        <v>29</v>
      </c>
      <c r="AI5" s="63" t="s">
        <v>151</v>
      </c>
      <c r="AJ5" s="49" t="s">
        <v>152</v>
      </c>
      <c r="AK5" s="66" t="s">
        <v>157</v>
      </c>
      <c r="AL5" s="51" t="s">
        <v>137</v>
      </c>
      <c r="AM5" s="45" t="s">
        <v>181</v>
      </c>
      <c r="AN5" s="45" t="s">
        <v>138</v>
      </c>
      <c r="AO5" s="45" t="s">
        <v>154</v>
      </c>
      <c r="AP5" s="45" t="s">
        <v>153</v>
      </c>
      <c r="AQ5" s="45" t="s">
        <v>141</v>
      </c>
      <c r="AR5" s="45" t="s">
        <v>142</v>
      </c>
      <c r="AS5" s="45" t="s">
        <v>159</v>
      </c>
      <c r="AT5" s="60" t="s">
        <v>143</v>
      </c>
      <c r="AU5" s="63" t="s">
        <v>147</v>
      </c>
      <c r="AV5" s="48" t="s">
        <v>148</v>
      </c>
      <c r="AW5" s="48" t="s">
        <v>149</v>
      </c>
      <c r="AX5" s="48" t="s">
        <v>150</v>
      </c>
      <c r="AY5" s="49" t="s">
        <v>29</v>
      </c>
      <c r="AZ5" s="66" t="s">
        <v>197</v>
      </c>
    </row>
    <row r="6" spans="1:52">
      <c r="A6">
        <v>1</v>
      </c>
      <c r="B6" s="32" t="s">
        <v>94</v>
      </c>
      <c r="C6" s="37" t="s">
        <v>440</v>
      </c>
      <c r="D6" s="33">
        <f>IF($C6="","",VLOOKUP($C6,CTBat!$G$10:$BR$203,D$4,FALSE))</f>
        <v>23</v>
      </c>
      <c r="E6" s="33" t="str">
        <f>IF($C6="","",VLOOKUP($C6,CTBat!$G$10:$BR$203,E$4,FALSE))</f>
        <v>R</v>
      </c>
      <c r="F6" s="52">
        <f>IF($C6="","",IF(AND(N6&gt;0,N6=SUM(M6:T6)),1,0))</f>
        <v>1</v>
      </c>
      <c r="G6" s="34">
        <f>IF($C6="","",IF(AND(OR(N6&gt;0,R6&gt;0),SUM(N6,R6)=SUM(M6:T6)),1,0))</f>
        <v>1</v>
      </c>
      <c r="H6" s="34">
        <f>IF($C6="","",IF(L6&gt;6,1,0))</f>
        <v>0</v>
      </c>
      <c r="I6" s="34">
        <f t="shared" ref="I6:I10" si="0">IF($C6="","",IF(AND(S6&gt;4,S6&lt;&gt;"-"),1,0))</f>
        <v>0</v>
      </c>
      <c r="J6" s="57">
        <f>IF($C6="","",VLOOKUP($C6,CTBat!$G$10:$BR$203,J$4,FALSE))</f>
        <v>1</v>
      </c>
      <c r="K6" s="33">
        <f>IF($C6="","",VLOOKUP($C6,CTBat!$G$10:$BR$203,K$4,FALSE))</f>
        <v>5</v>
      </c>
      <c r="L6" s="35">
        <f>IF($C6="","",VLOOKUP($C6,CTBat!$G$10:$BR$203,L$4,FALSE))</f>
        <v>3</v>
      </c>
      <c r="M6" s="33" t="str">
        <f>IF($C6="","",VLOOKUP($C6,CTBat!$G$10:$BR$203,M$4,FALSE))</f>
        <v>-</v>
      </c>
      <c r="N6" s="33">
        <f>IF($C6="","",VLOOKUP($C6,CTBat!$G$10:$BR$203,N$4,FALSE))</f>
        <v>7</v>
      </c>
      <c r="O6" s="33" t="str">
        <f>IF($C6="","",VLOOKUP($C6,CTBat!$G$10:$BR$203,O$4,FALSE))</f>
        <v>-</v>
      </c>
      <c r="P6" s="33" t="str">
        <f>IF($C6="","",VLOOKUP($C6,CTBat!$G$10:$BR$203,P$4,FALSE))</f>
        <v>-</v>
      </c>
      <c r="Q6" s="33" t="str">
        <f>IF($C6="","",VLOOKUP($C6,CTBat!$G$10:$BR$203,Q$4,FALSE))</f>
        <v>-</v>
      </c>
      <c r="R6" s="33" t="str">
        <f>IF($C6="","",VLOOKUP($C6,CTBat!$G$10:$BR$203,R$4,FALSE))</f>
        <v>-</v>
      </c>
      <c r="S6" s="33" t="str">
        <f>IF($C6="","",VLOOKUP($C6,CTBat!$G$10:$BR$203,S$4,FALSE))</f>
        <v>-</v>
      </c>
      <c r="T6" s="35" t="str">
        <f>IF($C6="","",VLOOKUP($C6,CTBat!$G$10:$BR$203,T$4,FALSE))</f>
        <v>-</v>
      </c>
      <c r="U6" s="53">
        <f t="shared" ref="U6:U17" si="1">IF($C6="","",IF(OR(AD6+AG6&gt;14,AND(OR(AD6+AG6&gt;12,AND(AD6&gt;6,AG6&gt;6)),AI6&gt;6,OR(AJ6&gt;=AI6,AJ6&gt;6))),1,0))</f>
        <v>1</v>
      </c>
      <c r="V6" s="275">
        <f t="shared" ref="V6:V17" si="2">IF($C6="","",IF(OR(AND(AD6&gt;6,AH6&gt;6),AD6+AG6&gt;12),1,0))</f>
        <v>1</v>
      </c>
      <c r="W6" s="34">
        <f>IF($C6="","",IF(AND(AD6&gt;6,AF6&gt;6,AG6&gt;6),1,0))</f>
        <v>0</v>
      </c>
      <c r="X6" s="34">
        <f>IF($C6="","",IF(AND(AF6&gt;7,OR(AD6&gt;6,AG6&gt;6)),1,0))</f>
        <v>0</v>
      </c>
      <c r="Y6" s="34">
        <f>IF($C6="","",IF(AND(AF6&gt;6,OR(AD6&gt;6,AG6&gt;6)),1,0))</f>
        <v>0</v>
      </c>
      <c r="Z6" s="34">
        <f>IF($C6="","",IF(AND(OR(AD6&gt;6,AF6&gt;6),OR(AD6&gt;6,AG6&gt;6)),1,0))</f>
        <v>1</v>
      </c>
      <c r="AA6" s="34">
        <f>IF($C6="","",IF(AND(AD6&gt;4,OR(AD6&gt;6,AF6&gt;6,AG6&gt;6)),1,0))</f>
        <v>1</v>
      </c>
      <c r="AB6" s="34">
        <f>IF($C6="","",IF(AND(AD6&gt;4,OR(AD6&gt;6,AE6&gt;6,AF6&gt;6,AG6&gt;6)),1,0))</f>
        <v>1</v>
      </c>
      <c r="AC6" s="61">
        <f>IF($C6="","",IF(AND(AD6&gt;4,MAX(AD6:AH6)&gt;6),1,0))</f>
        <v>1</v>
      </c>
      <c r="AD6" s="33">
        <f>IF($C6="","",VLOOKUP($C6,CTBat!$G$10:$BR$203,AD$4,FALSE))</f>
        <v>7</v>
      </c>
      <c r="AE6" s="33">
        <f>IF($C6="","",VLOOKUP($C6,CTBat!$G$10:$BR$203,AE$4,FALSE))</f>
        <v>6</v>
      </c>
      <c r="AF6" s="33">
        <f>IF($C6="","",VLOOKUP($C6,CTBat!$G$10:$BR$203,AF$4,FALSE))</f>
        <v>5</v>
      </c>
      <c r="AG6" s="33">
        <f>IF($C6="","",VLOOKUP($C6,CTBat!$G$10:$BR$203,AG$4,FALSE))</f>
        <v>8</v>
      </c>
      <c r="AH6" s="33">
        <f>IF($C6="","",VLOOKUP($C6,CTBat!$G$10:$BR$203,AH$4,FALSE))</f>
        <v>9</v>
      </c>
      <c r="AI6" s="57">
        <f>IF($C6="","",VLOOKUP($C6,CTBat!$G$10:$BR$203,AI$4,FALSE))</f>
        <v>5</v>
      </c>
      <c r="AJ6" s="35">
        <f>IF($C6="","",VLOOKUP($C6,CTBat!$G$10:$BR$203,AJ$4,FALSE))</f>
        <v>5</v>
      </c>
      <c r="AK6" s="67">
        <f>IF($C6="","",(5*AD6+4*AF6+3*AG6+2*AE6+1*AH6+0.5*(AVERAGE(AD6:AE6))+0.5*AVERAGE(AD6,AH6)+1*(AVERAGE(AD6,AF6))+1*AVERAGE(AD6,AG6))/(5+4+3+2+1+0.5+0.5+1+1))</f>
        <v>6.708333333333333</v>
      </c>
      <c r="AL6" s="52">
        <f>IF($C6="","",IF(AND(OR(AU6+AX6&gt;12,AND(AU6&gt;6,AX6&gt;6)),AI6&gt;6,OR(AJ6&gt;=AI6,AJ6&gt;6)),1,0))</f>
        <v>0</v>
      </c>
      <c r="AM6" s="34">
        <f>IF($C6="","",IF(OR(AND(AU6&gt;6,AY6&gt;6),AU6+AX6&gt;12),1,0))</f>
        <v>1</v>
      </c>
      <c r="AN6" s="34">
        <f>IF($C6="","",IF(AND(AU6&gt;6,AW6&gt;6,AX6&gt;6),1,0))</f>
        <v>1</v>
      </c>
      <c r="AO6" s="34">
        <f>IF($C6="","",IF(AND(AW6&gt;7,OR(AU6&gt;6,AX6&gt;6)),1,0))</f>
        <v>0</v>
      </c>
      <c r="AP6" s="34">
        <f>IF($C6="","",IF(AND(AW6&gt;6,OR(AU6&gt;6,AX6&gt;6)),1,0))</f>
        <v>1</v>
      </c>
      <c r="AQ6" s="34">
        <f>IF($C6="","",IF(AND(OR(AU6&gt;6,AW6&gt;6),OR(AU6&gt;6,AX6&gt;6)),1,0))</f>
        <v>1</v>
      </c>
      <c r="AR6" s="34">
        <f>IF($C6="","",IF(AND(AU6&gt;4,OR(AU6&gt;6,AW6&gt;6,AX6&gt;6)),1,0))</f>
        <v>1</v>
      </c>
      <c r="AS6" s="34">
        <f>IF($C6="","",IF(AND(AU6&gt;4,OR(AU6&gt;6,AV6&gt;6,AW6&gt;6,AX6&gt;6)),1,0))</f>
        <v>1</v>
      </c>
      <c r="AT6" s="61">
        <f>IF($C6="","",IF(AND(AU6&gt;4,MAX(AU6:AY6)&gt;6),1,0))</f>
        <v>1</v>
      </c>
      <c r="AU6" s="57">
        <f>IF($C6="","",VLOOKUP($C6,CTBat!$G$10:$BR$203,AU$4,FALSE))</f>
        <v>8</v>
      </c>
      <c r="AV6" s="33">
        <f>IF($C6="","",VLOOKUP($C6,CTBat!$G$10:$BR$203,AV$4,FALSE))</f>
        <v>6</v>
      </c>
      <c r="AW6" s="33">
        <f>IF($C6="","",VLOOKUP($C6,CTBat!$G$10:$BR$203,AW$4,FALSE))</f>
        <v>7</v>
      </c>
      <c r="AX6" s="33">
        <f>IF($C6="","",VLOOKUP($C6,CTBat!$G$10:$BR$203,AX$4,FALSE))</f>
        <v>10</v>
      </c>
      <c r="AY6" s="35">
        <f>IF($C6="","",VLOOKUP($C6,CTBat!$G$10:$BR$203,AY$4,FALSE))</f>
        <v>10</v>
      </c>
      <c r="AZ6" s="67">
        <f>IF($C6="","",(5*AU6+4*AW6+3*AX6+2*AV6+1*AY6+0.5*(AVERAGE(AU6:AV6))+0.5*AVERAGE(AU6,AY6)+1*(AVERAGE(AU6,AW6))+1*AVERAGE(AU6,AX6))/(5+4+3+2+1+0.5+0.5+1+1))</f>
        <v>8.0277777777777786</v>
      </c>
    </row>
    <row r="7" spans="1:52">
      <c r="A7">
        <v>2</v>
      </c>
      <c r="B7" s="36" t="s">
        <v>98</v>
      </c>
      <c r="C7" s="37" t="s">
        <v>388</v>
      </c>
      <c r="D7" s="37">
        <f>IF($C7="","",VLOOKUP($C7,CTBat!$G$10:$BR$203,D$4,FALSE))</f>
        <v>24</v>
      </c>
      <c r="E7" s="37" t="str">
        <f>IF($C7="","",VLOOKUP($C7,CTBat!$G$10:$BR$203,E$4,FALSE))</f>
        <v>L</v>
      </c>
      <c r="F7" s="53">
        <f t="shared" ref="F7:F17" si="3">IF($C7="","",IF(AND(N7&gt;0,N7=SUM(M7:T7)),1,0))</f>
        <v>0</v>
      </c>
      <c r="G7" s="275">
        <f t="shared" ref="G7:G17" si="4">IF($C7="","",IF(AND(OR(N7&gt;0,R7&gt;0),SUM(N7,R7)=SUM(M7:T7)),1,0))</f>
        <v>0</v>
      </c>
      <c r="H7" s="275">
        <f t="shared" ref="H7:H17" si="5">IF($C7="","",IF(L7&gt;6,1,0))</f>
        <v>0</v>
      </c>
      <c r="I7" s="275">
        <f t="shared" si="0"/>
        <v>0</v>
      </c>
      <c r="J7" s="58">
        <f>IF($C7="","",VLOOKUP($C7,CTBat!$G$10:$BR$203,J$4,FALSE))</f>
        <v>1</v>
      </c>
      <c r="K7" s="37">
        <f>IF($C7="","",VLOOKUP($C7,CTBat!$G$10:$BR$203,K$4,FALSE))</f>
        <v>1</v>
      </c>
      <c r="L7" s="38">
        <f>IF($C7="","",VLOOKUP($C7,CTBat!$G$10:$BR$203,L$4,FALSE))</f>
        <v>5</v>
      </c>
      <c r="M7" s="37" t="str">
        <f>IF($C7="","",VLOOKUP($C7,CTBat!$G$10:$BR$203,M$4,FALSE))</f>
        <v>-</v>
      </c>
      <c r="N7" s="37" t="str">
        <f>IF($C7="","",VLOOKUP($C7,CTBat!$G$10:$BR$203,N$4,FALSE))</f>
        <v>-</v>
      </c>
      <c r="O7" s="37" t="str">
        <f>IF($C7="","",VLOOKUP($C7,CTBat!$G$10:$BR$203,O$4,FALSE))</f>
        <v>-</v>
      </c>
      <c r="P7" s="37" t="str">
        <f>IF($C7="","",VLOOKUP($C7,CTBat!$G$10:$BR$203,P$4,FALSE))</f>
        <v>-</v>
      </c>
      <c r="Q7" s="37" t="str">
        <f>IF($C7="","",VLOOKUP($C7,CTBat!$G$10:$BR$203,Q$4,FALSE))</f>
        <v>-</v>
      </c>
      <c r="R7" s="37">
        <f>IF($C7="","",VLOOKUP($C7,CTBat!$G$10:$BR$203,R$4,FALSE))</f>
        <v>7</v>
      </c>
      <c r="S7" s="37">
        <f>IF($C7="","",VLOOKUP($C7,CTBat!$G$10:$BR$203,S$4,FALSE))</f>
        <v>3</v>
      </c>
      <c r="T7" s="38">
        <f>IF($C7="","",VLOOKUP($C7,CTBat!$G$10:$BR$203,T$4,FALSE))</f>
        <v>3</v>
      </c>
      <c r="U7" s="53">
        <f t="shared" si="1"/>
        <v>0</v>
      </c>
      <c r="V7" s="275">
        <f t="shared" si="2"/>
        <v>0</v>
      </c>
      <c r="W7" s="275">
        <f t="shared" ref="W7:W17" si="6">IF($C7="","",IF(AND(AD7&gt;6,AF7&gt;6,AG7&gt;6),1,0))</f>
        <v>0</v>
      </c>
      <c r="X7" s="275">
        <f t="shared" ref="X7:X17" si="7">IF($C7="","",IF(AND(AF7&gt;7,OR(AD7&gt;6,AG7&gt;6)),1,0))</f>
        <v>0</v>
      </c>
      <c r="Y7" s="275">
        <f t="shared" ref="Y7:Y17" si="8">IF($C7="","",IF(AND(AF7&gt;6,OR(AD7&gt;6,AG7&gt;6)),1,0))</f>
        <v>0</v>
      </c>
      <c r="Z7" s="275">
        <f t="shared" ref="Z7:Z17" si="9">IF($C7="","",IF(AND(OR(AD7&gt;6,AF7&gt;6),OR(AD7&gt;6,AG7&gt;6)),1,0))</f>
        <v>1</v>
      </c>
      <c r="AA7" s="275">
        <f t="shared" ref="AA7:AA17" si="10">IF($C7="","",IF(AND(AD7&gt;4,OR(AD7&gt;6,AF7&gt;6,AG7&gt;6)),1,0))</f>
        <v>1</v>
      </c>
      <c r="AB7" s="275">
        <f t="shared" ref="AB7:AB17" si="11">IF($C7="","",IF(AND(AD7&gt;4,OR(AD7&gt;6,AE7&gt;6,AF7&gt;6,AG7&gt;6)),1,0))</f>
        <v>1</v>
      </c>
      <c r="AC7" s="276">
        <f t="shared" ref="AC7:AC17" si="12">IF($C7="","",IF(AND(AD7&gt;4,MAX(AD7:AH7)&gt;6),1,0))</f>
        <v>1</v>
      </c>
      <c r="AD7" s="37">
        <f>IF($C7="","",VLOOKUP($C7,CTBat!$G$10:$BR$203,AD$4,FALSE))</f>
        <v>8</v>
      </c>
      <c r="AE7" s="37">
        <f>IF($C7="","",VLOOKUP($C7,CTBat!$G$10:$BR$203,AE$4,FALSE))</f>
        <v>8</v>
      </c>
      <c r="AF7" s="37">
        <f>IF($C7="","",VLOOKUP($C7,CTBat!$G$10:$BR$203,AF$4,FALSE))</f>
        <v>4</v>
      </c>
      <c r="AG7" s="37">
        <f>IF($C7="","",VLOOKUP($C7,CTBat!$G$10:$BR$203,AG$4,FALSE))</f>
        <v>4</v>
      </c>
      <c r="AH7" s="37">
        <f>IF($C7="","",VLOOKUP($C7,CTBat!$G$10:$BR$203,AH$4,FALSE))</f>
        <v>6</v>
      </c>
      <c r="AI7" s="58">
        <f>IF($C7="","",VLOOKUP($C7,CTBat!$G$10:$BR$203,AI$4,FALSE))</f>
        <v>4</v>
      </c>
      <c r="AJ7" s="38">
        <f>IF($C7="","",VLOOKUP($C7,CTBat!$G$10:$BR$203,AJ$4,FALSE))</f>
        <v>6</v>
      </c>
      <c r="AK7" s="67">
        <f t="shared" ref="AK7:AK17" si="13">IF($C7="","",(5*AD7+4*AF7+3*AG7+2*AE7+1*AH7+0.5*(AVERAGE(AD7:AE7))+0.5*AVERAGE(AD7,AH7)+1*(AVERAGE(AD7,AF7))+1*AVERAGE(AD7,AG7))/(5+4+3+2+1+0.5+0.5+1+1))</f>
        <v>6.083333333333333</v>
      </c>
      <c r="AL7" s="53">
        <f t="shared" ref="AL7:AL17" si="14">IF($C7="","",IF(AND(OR(AU7+AX7&gt;12,AND(AU7&gt;6,AX7&gt;6)),AI7&gt;6,OR(AJ7&gt;=AI7,AJ7&gt;6)),1,0))</f>
        <v>0</v>
      </c>
      <c r="AM7" s="275">
        <f t="shared" ref="AM7:AM17" si="15">IF($C7="","",IF(OR(AND(AU7&gt;6,AY7&gt;6),AU7+AX7&gt;12),1,0))</f>
        <v>1</v>
      </c>
      <c r="AN7" s="275">
        <f t="shared" ref="AN7:AN17" si="16">IF($C7="","",IF(AND(AU7&gt;6,AW7&gt;6,AX7&gt;6),1,0))</f>
        <v>0</v>
      </c>
      <c r="AO7" s="275">
        <f t="shared" ref="AO7:AO17" si="17">IF($C7="","",IF(AND(AW7&gt;7,OR(AU7&gt;6,AX7&gt;6)),1,0))</f>
        <v>0</v>
      </c>
      <c r="AP7" s="275">
        <f t="shared" ref="AP7:AP17" si="18">IF($C7="","",IF(AND(AW7&gt;6,OR(AU7&gt;6,AX7&gt;6)),1,0))</f>
        <v>0</v>
      </c>
      <c r="AQ7" s="275">
        <f t="shared" ref="AQ7:AQ17" si="19">IF($C7="","",IF(AND(OR(AU7&gt;6,AW7&gt;6),OR(AU7&gt;6,AX7&gt;6)),1,0))</f>
        <v>1</v>
      </c>
      <c r="AR7" s="275">
        <f t="shared" ref="AR7:AR17" si="20">IF($C7="","",IF(AND(AU7&gt;4,OR(AU7&gt;6,AW7&gt;6,AX7&gt;6)),1,0))</f>
        <v>1</v>
      </c>
      <c r="AS7" s="275">
        <f t="shared" ref="AS7:AS17" si="21">IF($C7="","",IF(AND(AU7&gt;4,OR(AU7&gt;6,AV7&gt;6,AW7&gt;6,AX7&gt;6)),1,0))</f>
        <v>1</v>
      </c>
      <c r="AT7" s="276">
        <f t="shared" ref="AT7:AT17" si="22">IF($C7="","",IF(AND(AU7&gt;4,MAX(AU7:AY7)&gt;6),1,0))</f>
        <v>1</v>
      </c>
      <c r="AU7" s="58">
        <f>IF($C7="","",VLOOKUP($C7,CTBat!$G$10:$BR$203,AU$4,FALSE))</f>
        <v>8</v>
      </c>
      <c r="AV7" s="37">
        <f>IF($C7="","",VLOOKUP($C7,CTBat!$G$10:$BR$203,AV$4,FALSE))</f>
        <v>8</v>
      </c>
      <c r="AW7" s="37">
        <f>IF($C7="","",VLOOKUP($C7,CTBat!$G$10:$BR$203,AW$4,FALSE))</f>
        <v>5</v>
      </c>
      <c r="AX7" s="37">
        <f>IF($C7="","",VLOOKUP($C7,CTBat!$G$10:$BR$203,AX$4,FALSE))</f>
        <v>5</v>
      </c>
      <c r="AY7" s="38">
        <f>IF($C7="","",VLOOKUP($C7,CTBat!$G$10:$BR$203,AY$4,FALSE))</f>
        <v>6</v>
      </c>
      <c r="AZ7" s="67">
        <f t="shared" ref="AZ7:AZ17" si="23">IF($C7="","",(5*AU7+4*AW7+3*AX7+2*AV7+1*AY7+0.5*(AVERAGE(AU7:AV7))+0.5*AVERAGE(AU7,AY7)+1*(AVERAGE(AU7,AW7))+1*AVERAGE(AU7,AX7))/(5+4+3+2+1+0.5+0.5+1+1))</f>
        <v>6.5277777777777777</v>
      </c>
    </row>
    <row r="8" spans="1:52">
      <c r="A8">
        <v>3</v>
      </c>
      <c r="B8" s="36" t="s">
        <v>99</v>
      </c>
      <c r="C8" s="37" t="s">
        <v>389</v>
      </c>
      <c r="D8" s="37">
        <f>IF($C8="","",VLOOKUP($C8,CTBat!$G$10:$BR$203,D$4,FALSE))</f>
        <v>25</v>
      </c>
      <c r="E8" s="37" t="str">
        <f>IF($C8="","",VLOOKUP($C8,CTBat!$G$10:$BR$203,E$4,FALSE))</f>
        <v>L</v>
      </c>
      <c r="F8" s="53">
        <f t="shared" si="3"/>
        <v>0</v>
      </c>
      <c r="G8" s="275">
        <f t="shared" si="4"/>
        <v>0</v>
      </c>
      <c r="H8" s="275">
        <f t="shared" si="5"/>
        <v>1</v>
      </c>
      <c r="I8" s="275">
        <f t="shared" si="0"/>
        <v>1</v>
      </c>
      <c r="J8" s="58">
        <f>IF($C8="","",VLOOKUP($C8,CTBat!$G$10:$BR$203,J$4,FALSE))</f>
        <v>1</v>
      </c>
      <c r="K8" s="37">
        <f>IF($C8="","",VLOOKUP($C8,CTBat!$G$10:$BR$203,K$4,FALSE))</f>
        <v>1</v>
      </c>
      <c r="L8" s="38">
        <f>IF($C8="","",VLOOKUP($C8,CTBat!$G$10:$BR$203,L$4,FALSE))</f>
        <v>8</v>
      </c>
      <c r="M8" s="37" t="str">
        <f>IF($C8="","",VLOOKUP($C8,CTBat!$G$10:$BR$203,M$4,FALSE))</f>
        <v>-</v>
      </c>
      <c r="N8" s="37" t="str">
        <f>IF($C8="","",VLOOKUP($C8,CTBat!$G$10:$BR$203,N$4,FALSE))</f>
        <v>-</v>
      </c>
      <c r="O8" s="37" t="str">
        <f>IF($C8="","",VLOOKUP($C8,CTBat!$G$10:$BR$203,O$4,FALSE))</f>
        <v>-</v>
      </c>
      <c r="P8" s="37" t="str">
        <f>IF($C8="","",VLOOKUP($C8,CTBat!$G$10:$BR$203,P$4,FALSE))</f>
        <v>-</v>
      </c>
      <c r="Q8" s="37" t="str">
        <f>IF($C8="","",VLOOKUP($C8,CTBat!$G$10:$BR$203,Q$4,FALSE))</f>
        <v>-</v>
      </c>
      <c r="R8" s="37">
        <f>IF($C8="","",VLOOKUP($C8,CTBat!$G$10:$BR$203,R$4,FALSE))</f>
        <v>5</v>
      </c>
      <c r="S8" s="37">
        <f>IF($C8="","",VLOOKUP($C8,CTBat!$G$10:$BR$203,S$4,FALSE))</f>
        <v>8</v>
      </c>
      <c r="T8" s="38">
        <f>IF($C8="","",VLOOKUP($C8,CTBat!$G$10:$BR$203,T$4,FALSE))</f>
        <v>7</v>
      </c>
      <c r="U8" s="53">
        <f t="shared" si="1"/>
        <v>0</v>
      </c>
      <c r="V8" s="275">
        <f t="shared" si="2"/>
        <v>0</v>
      </c>
      <c r="W8" s="275">
        <f t="shared" si="6"/>
        <v>0</v>
      </c>
      <c r="X8" s="275">
        <f t="shared" si="7"/>
        <v>0</v>
      </c>
      <c r="Y8" s="275">
        <f t="shared" si="8"/>
        <v>0</v>
      </c>
      <c r="Z8" s="275">
        <f t="shared" si="9"/>
        <v>0</v>
      </c>
      <c r="AA8" s="275">
        <f t="shared" si="10"/>
        <v>0</v>
      </c>
      <c r="AB8" s="275">
        <f t="shared" si="11"/>
        <v>1</v>
      </c>
      <c r="AC8" s="276">
        <f t="shared" si="12"/>
        <v>1</v>
      </c>
      <c r="AD8" s="37">
        <f>IF($C8="","",VLOOKUP($C8,CTBat!$G$10:$BR$203,AD$4,FALSE))</f>
        <v>6</v>
      </c>
      <c r="AE8" s="37">
        <f>IF($C8="","",VLOOKUP($C8,CTBat!$G$10:$BR$203,AE$4,FALSE))</f>
        <v>7</v>
      </c>
      <c r="AF8" s="37">
        <f>IF($C8="","",VLOOKUP($C8,CTBat!$G$10:$BR$203,AF$4,FALSE))</f>
        <v>5</v>
      </c>
      <c r="AG8" s="37">
        <f>IF($C8="","",VLOOKUP($C8,CTBat!$G$10:$BR$203,AG$4,FALSE))</f>
        <v>5</v>
      </c>
      <c r="AH8" s="37">
        <f>IF($C8="","",VLOOKUP($C8,CTBat!$G$10:$BR$203,AH$4,FALSE))</f>
        <v>5</v>
      </c>
      <c r="AI8" s="58">
        <f>IF($C8="","",VLOOKUP($C8,CTBat!$G$10:$BR$203,AI$4,FALSE))</f>
        <v>6</v>
      </c>
      <c r="AJ8" s="38">
        <f>IF($C8="","",VLOOKUP($C8,CTBat!$G$10:$BR$203,AJ$4,FALSE))</f>
        <v>9</v>
      </c>
      <c r="AK8" s="67">
        <f t="shared" si="13"/>
        <v>5.6111111111111107</v>
      </c>
      <c r="AL8" s="53">
        <f t="shared" si="14"/>
        <v>0</v>
      </c>
      <c r="AM8" s="275">
        <f t="shared" si="15"/>
        <v>0</v>
      </c>
      <c r="AN8" s="275">
        <f t="shared" si="16"/>
        <v>0</v>
      </c>
      <c r="AO8" s="275">
        <f t="shared" si="17"/>
        <v>0</v>
      </c>
      <c r="AP8" s="275">
        <f t="shared" si="18"/>
        <v>0</v>
      </c>
      <c r="AQ8" s="275">
        <f t="shared" si="19"/>
        <v>0</v>
      </c>
      <c r="AR8" s="275">
        <f t="shared" si="20"/>
        <v>0</v>
      </c>
      <c r="AS8" s="275">
        <f t="shared" si="21"/>
        <v>1</v>
      </c>
      <c r="AT8" s="276">
        <f t="shared" si="22"/>
        <v>1</v>
      </c>
      <c r="AU8" s="58">
        <f>IF($C8="","",VLOOKUP($C8,CTBat!$G$10:$BR$203,AU$4,FALSE))</f>
        <v>6</v>
      </c>
      <c r="AV8" s="37">
        <f>IF($C8="","",VLOOKUP($C8,CTBat!$G$10:$BR$203,AV$4,FALSE))</f>
        <v>7</v>
      </c>
      <c r="AW8" s="37">
        <f>IF($C8="","",VLOOKUP($C8,CTBat!$G$10:$BR$203,AW$4,FALSE))</f>
        <v>5</v>
      </c>
      <c r="AX8" s="37">
        <f>IF($C8="","",VLOOKUP($C8,CTBat!$G$10:$BR$203,AX$4,FALSE))</f>
        <v>6</v>
      </c>
      <c r="AY8" s="38">
        <f>IF($C8="","",VLOOKUP($C8,CTBat!$G$10:$BR$203,AY$4,FALSE))</f>
        <v>5</v>
      </c>
      <c r="AZ8" s="67">
        <f t="shared" si="23"/>
        <v>5.8055555555555554</v>
      </c>
    </row>
    <row r="9" spans="1:52">
      <c r="A9">
        <v>4</v>
      </c>
      <c r="B9" s="36" t="s">
        <v>100</v>
      </c>
      <c r="C9" s="65" t="s">
        <v>240</v>
      </c>
      <c r="D9" s="37">
        <f>IF($C9="","",VLOOKUP($C9,CTBat!$G$10:$BR$203,D$4,FALSE))</f>
        <v>26</v>
      </c>
      <c r="E9" s="37" t="str">
        <f>IF($C9="","",VLOOKUP($C9,CTBat!$G$10:$BR$203,E$4,FALSE))</f>
        <v>L</v>
      </c>
      <c r="F9" s="53">
        <f t="shared" si="3"/>
        <v>0</v>
      </c>
      <c r="G9" s="275">
        <f t="shared" si="4"/>
        <v>0</v>
      </c>
      <c r="H9" s="275">
        <f t="shared" si="5"/>
        <v>0</v>
      </c>
      <c r="I9" s="275">
        <f t="shared" si="0"/>
        <v>0</v>
      </c>
      <c r="J9" s="58">
        <f>IF($C9="","",VLOOKUP($C9,CTBat!$G$10:$BR$203,J$4,FALSE))</f>
        <v>1</v>
      </c>
      <c r="K9" s="37">
        <f>IF($C9="","",VLOOKUP($C9,CTBat!$G$10:$BR$203,K$4,FALSE))</f>
        <v>1</v>
      </c>
      <c r="L9" s="38">
        <f>IF($C9="","",VLOOKUP($C9,CTBat!$G$10:$BR$203,L$4,FALSE))</f>
        <v>6</v>
      </c>
      <c r="M9" s="37" t="str">
        <f>IF($C9="","",VLOOKUP($C9,CTBat!$G$10:$BR$203,M$4,FALSE))</f>
        <v>-</v>
      </c>
      <c r="N9" s="37" t="str">
        <f>IF($C9="","",VLOOKUP($C9,CTBat!$G$10:$BR$203,N$4,FALSE))</f>
        <v>-</v>
      </c>
      <c r="O9" s="37" t="str">
        <f>IF($C9="","",VLOOKUP($C9,CTBat!$G$10:$BR$203,O$4,FALSE))</f>
        <v>-</v>
      </c>
      <c r="P9" s="37" t="str">
        <f>IF($C9="","",VLOOKUP($C9,CTBat!$G$10:$BR$203,P$4,FALSE))</f>
        <v>-</v>
      </c>
      <c r="Q9" s="37" t="str">
        <f>IF($C9="","",VLOOKUP($C9,CTBat!$G$10:$BR$203,Q$4,FALSE))</f>
        <v>-</v>
      </c>
      <c r="R9" s="37">
        <f>IF($C9="","",VLOOKUP($C9,CTBat!$G$10:$BR$203,R$4,FALSE))</f>
        <v>8</v>
      </c>
      <c r="S9" s="37">
        <f>IF($C9="","",VLOOKUP($C9,CTBat!$G$10:$BR$203,S$4,FALSE))</f>
        <v>4</v>
      </c>
      <c r="T9" s="38">
        <f>IF($C9="","",VLOOKUP($C9,CTBat!$G$10:$BR$203,T$4,FALSE))</f>
        <v>7</v>
      </c>
      <c r="U9" s="53">
        <f t="shared" si="1"/>
        <v>0</v>
      </c>
      <c r="V9" s="275">
        <f t="shared" si="2"/>
        <v>1</v>
      </c>
      <c r="W9" s="275">
        <f t="shared" si="6"/>
        <v>0</v>
      </c>
      <c r="X9" s="275">
        <f t="shared" si="7"/>
        <v>0</v>
      </c>
      <c r="Y9" s="275">
        <f t="shared" si="8"/>
        <v>0</v>
      </c>
      <c r="Z9" s="275">
        <f t="shared" si="9"/>
        <v>0</v>
      </c>
      <c r="AA9" s="275">
        <f t="shared" si="10"/>
        <v>1</v>
      </c>
      <c r="AB9" s="275">
        <f t="shared" si="11"/>
        <v>1</v>
      </c>
      <c r="AC9" s="276">
        <f t="shared" si="12"/>
        <v>1</v>
      </c>
      <c r="AD9" s="37">
        <f>IF($C9="","",VLOOKUP($C9,CTBat!$G$10:$BR$203,AD$4,FALSE))</f>
        <v>6</v>
      </c>
      <c r="AE9" s="37">
        <f>IF($C9="","",VLOOKUP($C9,CTBat!$G$10:$BR$203,AE$4,FALSE))</f>
        <v>5</v>
      </c>
      <c r="AF9" s="37">
        <f>IF($C9="","",VLOOKUP($C9,CTBat!$G$10:$BR$203,AF$4,FALSE))</f>
        <v>6</v>
      </c>
      <c r="AG9" s="37">
        <f>IF($C9="","",VLOOKUP($C9,CTBat!$G$10:$BR$203,AG$4,FALSE))</f>
        <v>7</v>
      </c>
      <c r="AH9" s="37">
        <f>IF($C9="","",VLOOKUP($C9,CTBat!$G$10:$BR$203,AH$4,FALSE))</f>
        <v>6</v>
      </c>
      <c r="AI9" s="58">
        <f>IF($C9="","",VLOOKUP($C9,CTBat!$G$10:$BR$203,AI$4,FALSE))</f>
        <v>6</v>
      </c>
      <c r="AJ9" s="38">
        <f>IF($C9="","",VLOOKUP($C9,CTBat!$G$10:$BR$203,AJ$4,FALSE))</f>
        <v>8</v>
      </c>
      <c r="AK9" s="67">
        <f t="shared" si="13"/>
        <v>6.0694444444444446</v>
      </c>
      <c r="AL9" s="53">
        <f t="shared" si="14"/>
        <v>0</v>
      </c>
      <c r="AM9" s="275">
        <f t="shared" si="15"/>
        <v>1</v>
      </c>
      <c r="AN9" s="275">
        <f t="shared" si="16"/>
        <v>0</v>
      </c>
      <c r="AO9" s="275">
        <f t="shared" si="17"/>
        <v>0</v>
      </c>
      <c r="AP9" s="275">
        <f t="shared" si="18"/>
        <v>0</v>
      </c>
      <c r="AQ9" s="275">
        <f t="shared" si="19"/>
        <v>0</v>
      </c>
      <c r="AR9" s="275">
        <f t="shared" si="20"/>
        <v>1</v>
      </c>
      <c r="AS9" s="275">
        <f t="shared" si="21"/>
        <v>1</v>
      </c>
      <c r="AT9" s="276">
        <f t="shared" si="22"/>
        <v>1</v>
      </c>
      <c r="AU9" s="58">
        <f>IF($C9="","",VLOOKUP($C9,CTBat!$G$10:$BR$203,AU$4,FALSE))</f>
        <v>6</v>
      </c>
      <c r="AV9" s="37">
        <f>IF($C9="","",VLOOKUP($C9,CTBat!$G$10:$BR$203,AV$4,FALSE))</f>
        <v>5</v>
      </c>
      <c r="AW9" s="37">
        <f>IF($C9="","",VLOOKUP($C9,CTBat!$G$10:$BR$203,AW$4,FALSE))</f>
        <v>6</v>
      </c>
      <c r="AX9" s="37">
        <f>IF($C9="","",VLOOKUP($C9,CTBat!$G$10:$BR$203,AX$4,FALSE))</f>
        <v>7</v>
      </c>
      <c r="AY9" s="38">
        <f>IF($C9="","",VLOOKUP($C9,CTBat!$G$10:$BR$203,AY$4,FALSE))</f>
        <v>6</v>
      </c>
      <c r="AZ9" s="67">
        <f t="shared" si="23"/>
        <v>6.0694444444444446</v>
      </c>
    </row>
    <row r="10" spans="1:52">
      <c r="A10">
        <v>5</v>
      </c>
      <c r="B10" s="36" t="s">
        <v>18</v>
      </c>
      <c r="C10" s="65"/>
      <c r="D10" s="37" t="str">
        <f>IF($C10="","",VLOOKUP($C10,CTBat!$G$10:$BR$203,D$4,FALSE))</f>
        <v/>
      </c>
      <c r="E10" s="37" t="str">
        <f>IF($C10="","",VLOOKUP($C10,CTBat!$G$10:$BR$203,E$4,FALSE))</f>
        <v/>
      </c>
      <c r="F10" s="53" t="str">
        <f t="shared" si="3"/>
        <v/>
      </c>
      <c r="G10" s="275" t="str">
        <f t="shared" si="4"/>
        <v/>
      </c>
      <c r="H10" s="275" t="str">
        <f t="shared" si="5"/>
        <v/>
      </c>
      <c r="I10" s="275" t="str">
        <f t="shared" si="0"/>
        <v/>
      </c>
      <c r="J10" s="58" t="str">
        <f>IF($C10="","",VLOOKUP($C10,CTBat!$G$10:$BR$203,J$4,FALSE))</f>
        <v/>
      </c>
      <c r="K10" s="37" t="str">
        <f>IF($C10="","",VLOOKUP($C10,CTBat!$G$10:$BR$203,K$4,FALSE))</f>
        <v/>
      </c>
      <c r="L10" s="38" t="str">
        <f>IF($C10="","",VLOOKUP($C10,CTBat!$G$10:$BR$203,L$4,FALSE))</f>
        <v/>
      </c>
      <c r="M10" s="37" t="str">
        <f>IF($C10="","",VLOOKUP($C10,CTBat!$G$10:$BR$203,M$4,FALSE))</f>
        <v/>
      </c>
      <c r="N10" s="37" t="str">
        <f>IF($C10="","",VLOOKUP($C10,CTBat!$G$10:$BR$203,N$4,FALSE))</f>
        <v/>
      </c>
      <c r="O10" s="37" t="str">
        <f>IF($C10="","",VLOOKUP($C10,CTBat!$G$10:$BR$203,O$4,FALSE))</f>
        <v/>
      </c>
      <c r="P10" s="37" t="str">
        <f>IF($C10="","",VLOOKUP($C10,CTBat!$G$10:$BR$203,P$4,FALSE))</f>
        <v/>
      </c>
      <c r="Q10" s="37" t="str">
        <f>IF($C10="","",VLOOKUP($C10,CTBat!$G$10:$BR$203,Q$4,FALSE))</f>
        <v/>
      </c>
      <c r="R10" s="37" t="str">
        <f>IF($C10="","",VLOOKUP($C10,CTBat!$G$10:$BR$203,R$4,FALSE))</f>
        <v/>
      </c>
      <c r="S10" s="37" t="str">
        <f>IF($C10="","",VLOOKUP($C10,CTBat!$G$10:$BR$203,S$4,FALSE))</f>
        <v/>
      </c>
      <c r="T10" s="38" t="str">
        <f>IF($C10="","",VLOOKUP($C10,CTBat!$G$10:$BR$203,T$4,FALSE))</f>
        <v/>
      </c>
      <c r="U10" s="53" t="str">
        <f t="shared" si="1"/>
        <v/>
      </c>
      <c r="V10" s="275" t="str">
        <f t="shared" si="2"/>
        <v/>
      </c>
      <c r="W10" s="275" t="str">
        <f t="shared" si="6"/>
        <v/>
      </c>
      <c r="X10" s="275" t="str">
        <f t="shared" si="7"/>
        <v/>
      </c>
      <c r="Y10" s="275" t="str">
        <f t="shared" si="8"/>
        <v/>
      </c>
      <c r="Z10" s="275" t="str">
        <f t="shared" si="9"/>
        <v/>
      </c>
      <c r="AA10" s="275" t="str">
        <f t="shared" si="10"/>
        <v/>
      </c>
      <c r="AB10" s="275" t="str">
        <f t="shared" si="11"/>
        <v/>
      </c>
      <c r="AC10" s="276" t="str">
        <f t="shared" si="12"/>
        <v/>
      </c>
      <c r="AD10" s="37" t="str">
        <f>IF($C10="","",VLOOKUP($C10,CTBat!$G$10:$BR$203,AD$4,FALSE))</f>
        <v/>
      </c>
      <c r="AE10" s="37" t="str">
        <f>IF($C10="","",VLOOKUP($C10,CTBat!$G$10:$BR$203,AE$4,FALSE))</f>
        <v/>
      </c>
      <c r="AF10" s="37" t="str">
        <f>IF($C10="","",VLOOKUP($C10,CTBat!$G$10:$BR$203,AF$4,FALSE))</f>
        <v/>
      </c>
      <c r="AG10" s="37" t="str">
        <f>IF($C10="","",VLOOKUP($C10,CTBat!$G$10:$BR$203,AG$4,FALSE))</f>
        <v/>
      </c>
      <c r="AH10" s="37" t="str">
        <f>IF($C10="","",VLOOKUP($C10,CTBat!$G$10:$BR$203,AH$4,FALSE))</f>
        <v/>
      </c>
      <c r="AI10" s="58" t="str">
        <f>IF($C10="","",VLOOKUP($C10,CTBat!$G$10:$BR$203,AI$4,FALSE))</f>
        <v/>
      </c>
      <c r="AJ10" s="38" t="str">
        <f>IF($C10="","",VLOOKUP($C10,CTBat!$G$10:$BR$203,AJ$4,FALSE))</f>
        <v/>
      </c>
      <c r="AK10" s="67" t="str">
        <f t="shared" si="13"/>
        <v/>
      </c>
      <c r="AL10" s="53" t="str">
        <f t="shared" si="14"/>
        <v/>
      </c>
      <c r="AM10" s="275" t="str">
        <f t="shared" si="15"/>
        <v/>
      </c>
      <c r="AN10" s="275" t="str">
        <f t="shared" si="16"/>
        <v/>
      </c>
      <c r="AO10" s="275" t="str">
        <f t="shared" si="17"/>
        <v/>
      </c>
      <c r="AP10" s="275" t="str">
        <f t="shared" si="18"/>
        <v/>
      </c>
      <c r="AQ10" s="275" t="str">
        <f t="shared" si="19"/>
        <v/>
      </c>
      <c r="AR10" s="275" t="str">
        <f t="shared" si="20"/>
        <v/>
      </c>
      <c r="AS10" s="275" t="str">
        <f t="shared" si="21"/>
        <v/>
      </c>
      <c r="AT10" s="276" t="str">
        <f t="shared" si="22"/>
        <v/>
      </c>
      <c r="AU10" s="58" t="str">
        <f>IF($C10="","",VLOOKUP($C10,CTBat!$G$10:$BR$203,AU$4,FALSE))</f>
        <v/>
      </c>
      <c r="AV10" s="37" t="str">
        <f>IF($C10="","",VLOOKUP($C10,CTBat!$G$10:$BR$203,AV$4,FALSE))</f>
        <v/>
      </c>
      <c r="AW10" s="37" t="str">
        <f>IF($C10="","",VLOOKUP($C10,CTBat!$G$10:$BR$203,AW$4,FALSE))</f>
        <v/>
      </c>
      <c r="AX10" s="37" t="str">
        <f>IF($C10="","",VLOOKUP($C10,CTBat!$G$10:$BR$203,AX$4,FALSE))</f>
        <v/>
      </c>
      <c r="AY10" s="38" t="str">
        <f>IF($C10="","",VLOOKUP($C10,CTBat!$G$10:$BR$203,AY$4,FALSE))</f>
        <v/>
      </c>
      <c r="AZ10" s="67" t="str">
        <f t="shared" si="23"/>
        <v/>
      </c>
    </row>
    <row r="11" spans="1:52">
      <c r="A11">
        <v>6</v>
      </c>
      <c r="B11" s="36" t="s">
        <v>101</v>
      </c>
      <c r="C11" s="65"/>
      <c r="D11" s="37" t="str">
        <f>IF($C11="","",VLOOKUP($C11,CTBat!$G$10:$BR$203,D$4,FALSE))</f>
        <v/>
      </c>
      <c r="E11" s="37" t="str">
        <f>IF($C11="","",VLOOKUP($C11,CTBat!$G$10:$BR$203,E$4,FALSE))</f>
        <v/>
      </c>
      <c r="F11" s="53" t="str">
        <f t="shared" si="3"/>
        <v/>
      </c>
      <c r="G11" s="275" t="str">
        <f t="shared" si="4"/>
        <v/>
      </c>
      <c r="H11" s="275" t="str">
        <f t="shared" si="5"/>
        <v/>
      </c>
      <c r="I11" s="275" t="str">
        <f>IF($C11="","",IF(AND(S11&gt;4,S11&lt;&gt;"-"),1,0))</f>
        <v/>
      </c>
      <c r="J11" s="58" t="str">
        <f>IF($C11="","",VLOOKUP($C11,CTBat!$G$10:$BR$203,J$4,FALSE))</f>
        <v/>
      </c>
      <c r="K11" s="37" t="str">
        <f>IF($C11="","",VLOOKUP($C11,CTBat!$G$10:$BR$203,K$4,FALSE))</f>
        <v/>
      </c>
      <c r="L11" s="38" t="str">
        <f>IF($C11="","",VLOOKUP($C11,CTBat!$G$10:$BR$203,L$4,FALSE))</f>
        <v/>
      </c>
      <c r="M11" s="37" t="str">
        <f>IF($C11="","",VLOOKUP($C11,CTBat!$G$10:$BR$203,M$4,FALSE))</f>
        <v/>
      </c>
      <c r="N11" s="37" t="str">
        <f>IF($C11="","",VLOOKUP($C11,CTBat!$G$10:$BR$203,N$4,FALSE))</f>
        <v/>
      </c>
      <c r="O11" s="37" t="str">
        <f>IF($C11="","",VLOOKUP($C11,CTBat!$G$10:$BR$203,O$4,FALSE))</f>
        <v/>
      </c>
      <c r="P11" s="37" t="str">
        <f>IF($C11="","",VLOOKUP($C11,CTBat!$G$10:$BR$203,P$4,FALSE))</f>
        <v/>
      </c>
      <c r="Q11" s="37" t="str">
        <f>IF($C11="","",VLOOKUP($C11,CTBat!$G$10:$BR$203,Q$4,FALSE))</f>
        <v/>
      </c>
      <c r="R11" s="37" t="str">
        <f>IF($C11="","",VLOOKUP($C11,CTBat!$G$10:$BR$203,R$4,FALSE))</f>
        <v/>
      </c>
      <c r="S11" s="37" t="str">
        <f>IF($C11="","",VLOOKUP($C11,CTBat!$G$10:$BR$203,S$4,FALSE))</f>
        <v/>
      </c>
      <c r="T11" s="38" t="str">
        <f>IF($C11="","",VLOOKUP($C11,CTBat!$G$10:$BR$203,T$4,FALSE))</f>
        <v/>
      </c>
      <c r="U11" s="53" t="str">
        <f t="shared" si="1"/>
        <v/>
      </c>
      <c r="V11" s="275" t="str">
        <f t="shared" si="2"/>
        <v/>
      </c>
      <c r="W11" s="275" t="str">
        <f t="shared" si="6"/>
        <v/>
      </c>
      <c r="X11" s="275" t="str">
        <f t="shared" si="7"/>
        <v/>
      </c>
      <c r="Y11" s="275" t="str">
        <f t="shared" si="8"/>
        <v/>
      </c>
      <c r="Z11" s="275" t="str">
        <f t="shared" si="9"/>
        <v/>
      </c>
      <c r="AA11" s="275" t="str">
        <f t="shared" si="10"/>
        <v/>
      </c>
      <c r="AB11" s="275" t="str">
        <f t="shared" si="11"/>
        <v/>
      </c>
      <c r="AC11" s="276" t="str">
        <f t="shared" si="12"/>
        <v/>
      </c>
      <c r="AD11" s="37" t="str">
        <f>IF($C11="","",VLOOKUP($C11,CTBat!$G$10:$BR$203,AD$4,FALSE))</f>
        <v/>
      </c>
      <c r="AE11" s="37" t="str">
        <f>IF($C11="","",VLOOKUP($C11,CTBat!$G$10:$BR$203,AE$4,FALSE))</f>
        <v/>
      </c>
      <c r="AF11" s="37" t="str">
        <f>IF($C11="","",VLOOKUP($C11,CTBat!$G$10:$BR$203,AF$4,FALSE))</f>
        <v/>
      </c>
      <c r="AG11" s="37" t="str">
        <f>IF($C11="","",VLOOKUP($C11,CTBat!$G$10:$BR$203,AG$4,FALSE))</f>
        <v/>
      </c>
      <c r="AH11" s="37" t="str">
        <f>IF($C11="","",VLOOKUP($C11,CTBat!$G$10:$BR$203,AH$4,FALSE))</f>
        <v/>
      </c>
      <c r="AI11" s="58" t="str">
        <f>IF($C11="","",VLOOKUP($C11,CTBat!$G$10:$BR$203,AI$4,FALSE))</f>
        <v/>
      </c>
      <c r="AJ11" s="38" t="str">
        <f>IF($C11="","",VLOOKUP($C11,CTBat!$G$10:$BR$203,AJ$4,FALSE))</f>
        <v/>
      </c>
      <c r="AK11" s="67" t="str">
        <f t="shared" si="13"/>
        <v/>
      </c>
      <c r="AL11" s="53" t="str">
        <f t="shared" si="14"/>
        <v/>
      </c>
      <c r="AM11" s="275" t="str">
        <f t="shared" si="15"/>
        <v/>
      </c>
      <c r="AN11" s="275" t="str">
        <f t="shared" si="16"/>
        <v/>
      </c>
      <c r="AO11" s="275" t="str">
        <f t="shared" si="17"/>
        <v/>
      </c>
      <c r="AP11" s="275" t="str">
        <f t="shared" si="18"/>
        <v/>
      </c>
      <c r="AQ11" s="275" t="str">
        <f t="shared" si="19"/>
        <v/>
      </c>
      <c r="AR11" s="275" t="str">
        <f t="shared" si="20"/>
        <v/>
      </c>
      <c r="AS11" s="275" t="str">
        <f t="shared" si="21"/>
        <v/>
      </c>
      <c r="AT11" s="276" t="str">
        <f t="shared" si="22"/>
        <v/>
      </c>
      <c r="AU11" s="58" t="str">
        <f>IF($C11="","",VLOOKUP($C11,CTBat!$G$10:$BR$203,AU$4,FALSE))</f>
        <v/>
      </c>
      <c r="AV11" s="37" t="str">
        <f>IF($C11="","",VLOOKUP($C11,CTBat!$G$10:$BR$203,AV$4,FALSE))</f>
        <v/>
      </c>
      <c r="AW11" s="37" t="str">
        <f>IF($C11="","",VLOOKUP($C11,CTBat!$G$10:$BR$203,AW$4,FALSE))</f>
        <v/>
      </c>
      <c r="AX11" s="37" t="str">
        <f>IF($C11="","",VLOOKUP($C11,CTBat!$G$10:$BR$203,AX$4,FALSE))</f>
        <v/>
      </c>
      <c r="AY11" s="38" t="str">
        <f>IF($C11="","",VLOOKUP($C11,CTBat!$G$10:$BR$203,AY$4,FALSE))</f>
        <v/>
      </c>
      <c r="AZ11" s="67" t="str">
        <f t="shared" si="23"/>
        <v/>
      </c>
    </row>
    <row r="12" spans="1:52">
      <c r="A12">
        <v>7</v>
      </c>
      <c r="B12" s="36" t="s">
        <v>101</v>
      </c>
      <c r="C12" s="65"/>
      <c r="D12" s="37" t="str">
        <f>IF($C12="","",VLOOKUP($C12,CTBat!$G$10:$BR$203,D$4,FALSE))</f>
        <v/>
      </c>
      <c r="E12" s="37" t="str">
        <f>IF($C12="","",VLOOKUP($C12,CTBat!$G$10:$BR$203,E$4,FALSE))</f>
        <v/>
      </c>
      <c r="F12" s="53" t="str">
        <f t="shared" si="3"/>
        <v/>
      </c>
      <c r="G12" s="275" t="str">
        <f t="shared" si="4"/>
        <v/>
      </c>
      <c r="H12" s="275" t="str">
        <f t="shared" si="5"/>
        <v/>
      </c>
      <c r="I12" s="275" t="str">
        <f t="shared" ref="I12:I17" si="24">IF($C12="","",IF(AND(S12&gt;4,S12&lt;&gt;"-"),1,0))</f>
        <v/>
      </c>
      <c r="J12" s="58" t="str">
        <f>IF($C12="","",VLOOKUP($C12,CTBat!$G$10:$BR$203,J$4,FALSE))</f>
        <v/>
      </c>
      <c r="K12" s="37" t="str">
        <f>IF($C12="","",VLOOKUP($C12,CTBat!$G$10:$BR$203,K$4,FALSE))</f>
        <v/>
      </c>
      <c r="L12" s="38" t="str">
        <f>IF($C12="","",VLOOKUP($C12,CTBat!$G$10:$BR$203,L$4,FALSE))</f>
        <v/>
      </c>
      <c r="M12" s="37" t="str">
        <f>IF($C12="","",VLOOKUP($C12,CTBat!$G$10:$BR$203,M$4,FALSE))</f>
        <v/>
      </c>
      <c r="N12" s="37" t="str">
        <f>IF($C12="","",VLOOKUP($C12,CTBat!$G$10:$BR$203,N$4,FALSE))</f>
        <v/>
      </c>
      <c r="O12" s="37" t="str">
        <f>IF($C12="","",VLOOKUP($C12,CTBat!$G$10:$BR$203,O$4,FALSE))</f>
        <v/>
      </c>
      <c r="P12" s="37" t="str">
        <f>IF($C12="","",VLOOKUP($C12,CTBat!$G$10:$BR$203,P$4,FALSE))</f>
        <v/>
      </c>
      <c r="Q12" s="37" t="str">
        <f>IF($C12="","",VLOOKUP($C12,CTBat!$G$10:$BR$203,Q$4,FALSE))</f>
        <v/>
      </c>
      <c r="R12" s="37" t="str">
        <f>IF($C12="","",VLOOKUP($C12,CTBat!$G$10:$BR$203,R$4,FALSE))</f>
        <v/>
      </c>
      <c r="S12" s="37" t="str">
        <f>IF($C12="","",VLOOKUP($C12,CTBat!$G$10:$BR$203,S$4,FALSE))</f>
        <v/>
      </c>
      <c r="T12" s="38" t="str">
        <f>IF($C12="","",VLOOKUP($C12,CTBat!$G$10:$BR$203,T$4,FALSE))</f>
        <v/>
      </c>
      <c r="U12" s="53" t="str">
        <f t="shared" si="1"/>
        <v/>
      </c>
      <c r="V12" s="275" t="str">
        <f t="shared" si="2"/>
        <v/>
      </c>
      <c r="W12" s="275" t="str">
        <f t="shared" si="6"/>
        <v/>
      </c>
      <c r="X12" s="275" t="str">
        <f t="shared" si="7"/>
        <v/>
      </c>
      <c r="Y12" s="275" t="str">
        <f t="shared" si="8"/>
        <v/>
      </c>
      <c r="Z12" s="275" t="str">
        <f t="shared" si="9"/>
        <v/>
      </c>
      <c r="AA12" s="275" t="str">
        <f t="shared" si="10"/>
        <v/>
      </c>
      <c r="AB12" s="275" t="str">
        <f t="shared" si="11"/>
        <v/>
      </c>
      <c r="AC12" s="276" t="str">
        <f t="shared" si="12"/>
        <v/>
      </c>
      <c r="AD12" s="37" t="str">
        <f>IF($C12="","",VLOOKUP($C12,CTBat!$G$10:$BR$203,AD$4,FALSE))</f>
        <v/>
      </c>
      <c r="AE12" s="37" t="str">
        <f>IF($C12="","",VLOOKUP($C12,CTBat!$G$10:$BR$203,AE$4,FALSE))</f>
        <v/>
      </c>
      <c r="AF12" s="37" t="str">
        <f>IF($C12="","",VLOOKUP($C12,CTBat!$G$10:$BR$203,AF$4,FALSE))</f>
        <v/>
      </c>
      <c r="AG12" s="37" t="str">
        <f>IF($C12="","",VLOOKUP($C12,CTBat!$G$10:$BR$203,AG$4,FALSE))</f>
        <v/>
      </c>
      <c r="AH12" s="37" t="str">
        <f>IF($C12="","",VLOOKUP($C12,CTBat!$G$10:$BR$203,AH$4,FALSE))</f>
        <v/>
      </c>
      <c r="AI12" s="58" t="str">
        <f>IF($C12="","",VLOOKUP($C12,CTBat!$G$10:$BR$203,AI$4,FALSE))</f>
        <v/>
      </c>
      <c r="AJ12" s="38" t="str">
        <f>IF($C12="","",VLOOKUP($C12,CTBat!$G$10:$BR$203,AJ$4,FALSE))</f>
        <v/>
      </c>
      <c r="AK12" s="67" t="str">
        <f t="shared" si="13"/>
        <v/>
      </c>
      <c r="AL12" s="53" t="str">
        <f t="shared" si="14"/>
        <v/>
      </c>
      <c r="AM12" s="275" t="str">
        <f t="shared" si="15"/>
        <v/>
      </c>
      <c r="AN12" s="275" t="str">
        <f t="shared" si="16"/>
        <v/>
      </c>
      <c r="AO12" s="275" t="str">
        <f t="shared" si="17"/>
        <v/>
      </c>
      <c r="AP12" s="275" t="str">
        <f t="shared" si="18"/>
        <v/>
      </c>
      <c r="AQ12" s="275" t="str">
        <f t="shared" si="19"/>
        <v/>
      </c>
      <c r="AR12" s="275" t="str">
        <f t="shared" si="20"/>
        <v/>
      </c>
      <c r="AS12" s="275" t="str">
        <f t="shared" si="21"/>
        <v/>
      </c>
      <c r="AT12" s="276" t="str">
        <f t="shared" si="22"/>
        <v/>
      </c>
      <c r="AU12" s="58" t="str">
        <f>IF($C12="","",VLOOKUP($C12,CTBat!$G$10:$BR$203,AU$4,FALSE))</f>
        <v/>
      </c>
      <c r="AV12" s="37" t="str">
        <f>IF($C12="","",VLOOKUP($C12,CTBat!$G$10:$BR$203,AV$4,FALSE))</f>
        <v/>
      </c>
      <c r="AW12" s="37" t="str">
        <f>IF($C12="","",VLOOKUP($C12,CTBat!$G$10:$BR$203,AW$4,FALSE))</f>
        <v/>
      </c>
      <c r="AX12" s="37" t="str">
        <f>IF($C12="","",VLOOKUP($C12,CTBat!$G$10:$BR$203,AX$4,FALSE))</f>
        <v/>
      </c>
      <c r="AY12" s="38" t="str">
        <f>IF($C12="","",VLOOKUP($C12,CTBat!$G$10:$BR$203,AY$4,FALSE))</f>
        <v/>
      </c>
      <c r="AZ12" s="67" t="str">
        <f t="shared" si="23"/>
        <v/>
      </c>
    </row>
    <row r="13" spans="1:52">
      <c r="A13">
        <v>8</v>
      </c>
      <c r="B13" s="36" t="s">
        <v>101</v>
      </c>
      <c r="C13" s="65"/>
      <c r="D13" s="37" t="str">
        <f>IF($C13="","",VLOOKUP($C13,CTBat!$G$10:$BR$203,D$4,FALSE))</f>
        <v/>
      </c>
      <c r="E13" s="37" t="str">
        <f>IF($C13="","",VLOOKUP($C13,CTBat!$G$10:$BR$203,E$4,FALSE))</f>
        <v/>
      </c>
      <c r="F13" s="53" t="str">
        <f t="shared" si="3"/>
        <v/>
      </c>
      <c r="G13" s="275" t="str">
        <f t="shared" si="4"/>
        <v/>
      </c>
      <c r="H13" s="275" t="str">
        <f t="shared" si="5"/>
        <v/>
      </c>
      <c r="I13" s="275" t="str">
        <f t="shared" si="24"/>
        <v/>
      </c>
      <c r="J13" s="58" t="str">
        <f>IF($C13="","",VLOOKUP($C13,CTBat!$G$10:$BR$203,J$4,FALSE))</f>
        <v/>
      </c>
      <c r="K13" s="37" t="str">
        <f>IF($C13="","",VLOOKUP($C13,CTBat!$G$10:$BR$203,K$4,FALSE))</f>
        <v/>
      </c>
      <c r="L13" s="38" t="str">
        <f>IF($C13="","",VLOOKUP($C13,CTBat!$G$10:$BR$203,L$4,FALSE))</f>
        <v/>
      </c>
      <c r="M13" s="37" t="str">
        <f>IF($C13="","",VLOOKUP($C13,CTBat!$G$10:$BR$203,M$4,FALSE))</f>
        <v/>
      </c>
      <c r="N13" s="37" t="str">
        <f>IF($C13="","",VLOOKUP($C13,CTBat!$G$10:$BR$203,N$4,FALSE))</f>
        <v/>
      </c>
      <c r="O13" s="37" t="str">
        <f>IF($C13="","",VLOOKUP($C13,CTBat!$G$10:$BR$203,O$4,FALSE))</f>
        <v/>
      </c>
      <c r="P13" s="37" t="str">
        <f>IF($C13="","",VLOOKUP($C13,CTBat!$G$10:$BR$203,P$4,FALSE))</f>
        <v/>
      </c>
      <c r="Q13" s="37" t="str">
        <f>IF($C13="","",VLOOKUP($C13,CTBat!$G$10:$BR$203,Q$4,FALSE))</f>
        <v/>
      </c>
      <c r="R13" s="37" t="str">
        <f>IF($C13="","",VLOOKUP($C13,CTBat!$G$10:$BR$203,R$4,FALSE))</f>
        <v/>
      </c>
      <c r="S13" s="37" t="str">
        <f>IF($C13="","",VLOOKUP($C13,CTBat!$G$10:$BR$203,S$4,FALSE))</f>
        <v/>
      </c>
      <c r="T13" s="38" t="str">
        <f>IF($C13="","",VLOOKUP($C13,CTBat!$G$10:$BR$203,T$4,FALSE))</f>
        <v/>
      </c>
      <c r="U13" s="53" t="str">
        <f t="shared" si="1"/>
        <v/>
      </c>
      <c r="V13" s="275" t="str">
        <f t="shared" si="2"/>
        <v/>
      </c>
      <c r="W13" s="275" t="str">
        <f t="shared" si="6"/>
        <v/>
      </c>
      <c r="X13" s="275" t="str">
        <f t="shared" si="7"/>
        <v/>
      </c>
      <c r="Y13" s="275" t="str">
        <f t="shared" si="8"/>
        <v/>
      </c>
      <c r="Z13" s="275" t="str">
        <f t="shared" si="9"/>
        <v/>
      </c>
      <c r="AA13" s="275" t="str">
        <f t="shared" si="10"/>
        <v/>
      </c>
      <c r="AB13" s="275" t="str">
        <f t="shared" si="11"/>
        <v/>
      </c>
      <c r="AC13" s="276" t="str">
        <f t="shared" si="12"/>
        <v/>
      </c>
      <c r="AD13" s="37" t="str">
        <f>IF($C13="","",VLOOKUP($C13,CTBat!$G$10:$BR$203,AD$4,FALSE))</f>
        <v/>
      </c>
      <c r="AE13" s="37" t="str">
        <f>IF($C13="","",VLOOKUP($C13,CTBat!$G$10:$BR$203,AE$4,FALSE))</f>
        <v/>
      </c>
      <c r="AF13" s="37" t="str">
        <f>IF($C13="","",VLOOKUP($C13,CTBat!$G$10:$BR$203,AF$4,FALSE))</f>
        <v/>
      </c>
      <c r="AG13" s="37" t="str">
        <f>IF($C13="","",VLOOKUP($C13,CTBat!$G$10:$BR$203,AG$4,FALSE))</f>
        <v/>
      </c>
      <c r="AH13" s="37" t="str">
        <f>IF($C13="","",VLOOKUP($C13,CTBat!$G$10:$BR$203,AH$4,FALSE))</f>
        <v/>
      </c>
      <c r="AI13" s="58" t="str">
        <f>IF($C13="","",VLOOKUP($C13,CTBat!$G$10:$BR$203,AI$4,FALSE))</f>
        <v/>
      </c>
      <c r="AJ13" s="38" t="str">
        <f>IF($C13="","",VLOOKUP($C13,CTBat!$G$10:$BR$203,AJ$4,FALSE))</f>
        <v/>
      </c>
      <c r="AK13" s="67" t="str">
        <f t="shared" si="13"/>
        <v/>
      </c>
      <c r="AL13" s="53" t="str">
        <f t="shared" si="14"/>
        <v/>
      </c>
      <c r="AM13" s="275" t="str">
        <f t="shared" si="15"/>
        <v/>
      </c>
      <c r="AN13" s="275" t="str">
        <f t="shared" si="16"/>
        <v/>
      </c>
      <c r="AO13" s="275" t="str">
        <f t="shared" si="17"/>
        <v/>
      </c>
      <c r="AP13" s="275" t="str">
        <f t="shared" si="18"/>
        <v/>
      </c>
      <c r="AQ13" s="275" t="str">
        <f t="shared" si="19"/>
        <v/>
      </c>
      <c r="AR13" s="275" t="str">
        <f t="shared" si="20"/>
        <v/>
      </c>
      <c r="AS13" s="275" t="str">
        <f t="shared" si="21"/>
        <v/>
      </c>
      <c r="AT13" s="276" t="str">
        <f t="shared" si="22"/>
        <v/>
      </c>
      <c r="AU13" s="58" t="str">
        <f>IF($C13="","",VLOOKUP($C13,CTBat!$G$10:$BR$203,AU$4,FALSE))</f>
        <v/>
      </c>
      <c r="AV13" s="37" t="str">
        <f>IF($C13="","",VLOOKUP($C13,CTBat!$G$10:$BR$203,AV$4,FALSE))</f>
        <v/>
      </c>
      <c r="AW13" s="37" t="str">
        <f>IF($C13="","",VLOOKUP($C13,CTBat!$G$10:$BR$203,AW$4,FALSE))</f>
        <v/>
      </c>
      <c r="AX13" s="37" t="str">
        <f>IF($C13="","",VLOOKUP($C13,CTBat!$G$10:$BR$203,AX$4,FALSE))</f>
        <v/>
      </c>
      <c r="AY13" s="38" t="str">
        <f>IF($C13="","",VLOOKUP($C13,CTBat!$G$10:$BR$203,AY$4,FALSE))</f>
        <v/>
      </c>
      <c r="AZ13" s="67" t="str">
        <f t="shared" si="23"/>
        <v/>
      </c>
    </row>
    <row r="14" spans="1:52">
      <c r="A14">
        <v>9</v>
      </c>
      <c r="B14" s="36" t="s">
        <v>101</v>
      </c>
      <c r="C14" s="65"/>
      <c r="D14" s="37" t="str">
        <f>IF($C14="","",VLOOKUP($C14,CTBat!$G$10:$BR$203,D$4,FALSE))</f>
        <v/>
      </c>
      <c r="E14" s="37" t="str">
        <f>IF($C14="","",VLOOKUP($C14,CTBat!$G$10:$BR$203,E$4,FALSE))</f>
        <v/>
      </c>
      <c r="F14" s="53" t="str">
        <f t="shared" si="3"/>
        <v/>
      </c>
      <c r="G14" s="275" t="str">
        <f t="shared" si="4"/>
        <v/>
      </c>
      <c r="H14" s="275" t="str">
        <f t="shared" si="5"/>
        <v/>
      </c>
      <c r="I14" s="275" t="str">
        <f t="shared" si="24"/>
        <v/>
      </c>
      <c r="J14" s="58" t="str">
        <f>IF($C14="","",VLOOKUP($C14,CTBat!$G$10:$BR$203,J$4,FALSE))</f>
        <v/>
      </c>
      <c r="K14" s="37" t="str">
        <f>IF($C14="","",VLOOKUP($C14,CTBat!$G$10:$BR$203,K$4,FALSE))</f>
        <v/>
      </c>
      <c r="L14" s="38" t="str">
        <f>IF($C14="","",VLOOKUP($C14,CTBat!$G$10:$BR$203,L$4,FALSE))</f>
        <v/>
      </c>
      <c r="M14" s="37" t="str">
        <f>IF($C14="","",VLOOKUP($C14,CTBat!$G$10:$BR$203,M$4,FALSE))</f>
        <v/>
      </c>
      <c r="N14" s="37" t="str">
        <f>IF($C14="","",VLOOKUP($C14,CTBat!$G$10:$BR$203,N$4,FALSE))</f>
        <v/>
      </c>
      <c r="O14" s="37" t="str">
        <f>IF($C14="","",VLOOKUP($C14,CTBat!$G$10:$BR$203,O$4,FALSE))</f>
        <v/>
      </c>
      <c r="P14" s="37" t="str">
        <f>IF($C14="","",VLOOKUP($C14,CTBat!$G$10:$BR$203,P$4,FALSE))</f>
        <v/>
      </c>
      <c r="Q14" s="37" t="str">
        <f>IF($C14="","",VLOOKUP($C14,CTBat!$G$10:$BR$203,Q$4,FALSE))</f>
        <v/>
      </c>
      <c r="R14" s="37" t="str">
        <f>IF($C14="","",VLOOKUP($C14,CTBat!$G$10:$BR$203,R$4,FALSE))</f>
        <v/>
      </c>
      <c r="S14" s="37" t="str">
        <f>IF($C14="","",VLOOKUP($C14,CTBat!$G$10:$BR$203,S$4,FALSE))</f>
        <v/>
      </c>
      <c r="T14" s="38" t="str">
        <f>IF($C14="","",VLOOKUP($C14,CTBat!$G$10:$BR$203,T$4,FALSE))</f>
        <v/>
      </c>
      <c r="U14" s="53" t="str">
        <f t="shared" si="1"/>
        <v/>
      </c>
      <c r="V14" s="275" t="str">
        <f t="shared" si="2"/>
        <v/>
      </c>
      <c r="W14" s="275" t="str">
        <f t="shared" si="6"/>
        <v/>
      </c>
      <c r="X14" s="275" t="str">
        <f t="shared" si="7"/>
        <v/>
      </c>
      <c r="Y14" s="275" t="str">
        <f t="shared" si="8"/>
        <v/>
      </c>
      <c r="Z14" s="275" t="str">
        <f t="shared" si="9"/>
        <v/>
      </c>
      <c r="AA14" s="275" t="str">
        <f t="shared" si="10"/>
        <v/>
      </c>
      <c r="AB14" s="275" t="str">
        <f t="shared" si="11"/>
        <v/>
      </c>
      <c r="AC14" s="276" t="str">
        <f t="shared" si="12"/>
        <v/>
      </c>
      <c r="AD14" s="37" t="str">
        <f>IF($C14="","",VLOOKUP($C14,CTBat!$G$10:$BR$203,AD$4,FALSE))</f>
        <v/>
      </c>
      <c r="AE14" s="37" t="str">
        <f>IF($C14="","",VLOOKUP($C14,CTBat!$G$10:$BR$203,AE$4,FALSE))</f>
        <v/>
      </c>
      <c r="AF14" s="37" t="str">
        <f>IF($C14="","",VLOOKUP($C14,CTBat!$G$10:$BR$203,AF$4,FALSE))</f>
        <v/>
      </c>
      <c r="AG14" s="37" t="str">
        <f>IF($C14="","",VLOOKUP($C14,CTBat!$G$10:$BR$203,AG$4,FALSE))</f>
        <v/>
      </c>
      <c r="AH14" s="37" t="str">
        <f>IF($C14="","",VLOOKUP($C14,CTBat!$G$10:$BR$203,AH$4,FALSE))</f>
        <v/>
      </c>
      <c r="AI14" s="58" t="str">
        <f>IF($C14="","",VLOOKUP($C14,CTBat!$G$10:$BR$203,AI$4,FALSE))</f>
        <v/>
      </c>
      <c r="AJ14" s="38" t="str">
        <f>IF($C14="","",VLOOKUP($C14,CTBat!$G$10:$BR$203,AJ$4,FALSE))</f>
        <v/>
      </c>
      <c r="AK14" s="67" t="str">
        <f t="shared" si="13"/>
        <v/>
      </c>
      <c r="AL14" s="53" t="str">
        <f t="shared" si="14"/>
        <v/>
      </c>
      <c r="AM14" s="275" t="str">
        <f t="shared" si="15"/>
        <v/>
      </c>
      <c r="AN14" s="275" t="str">
        <f t="shared" si="16"/>
        <v/>
      </c>
      <c r="AO14" s="275" t="str">
        <f t="shared" si="17"/>
        <v/>
      </c>
      <c r="AP14" s="275" t="str">
        <f t="shared" si="18"/>
        <v/>
      </c>
      <c r="AQ14" s="275" t="str">
        <f t="shared" si="19"/>
        <v/>
      </c>
      <c r="AR14" s="275" t="str">
        <f t="shared" si="20"/>
        <v/>
      </c>
      <c r="AS14" s="275" t="str">
        <f t="shared" si="21"/>
        <v/>
      </c>
      <c r="AT14" s="276" t="str">
        <f t="shared" si="22"/>
        <v/>
      </c>
      <c r="AU14" s="58" t="str">
        <f>IF($C14="","",VLOOKUP($C14,CTBat!$G$10:$BR$203,AU$4,FALSE))</f>
        <v/>
      </c>
      <c r="AV14" s="37" t="str">
        <f>IF($C14="","",VLOOKUP($C14,CTBat!$G$10:$BR$203,AV$4,FALSE))</f>
        <v/>
      </c>
      <c r="AW14" s="37" t="str">
        <f>IF($C14="","",VLOOKUP($C14,CTBat!$G$10:$BR$203,AW$4,FALSE))</f>
        <v/>
      </c>
      <c r="AX14" s="37" t="str">
        <f>IF($C14="","",VLOOKUP($C14,CTBat!$G$10:$BR$203,AX$4,FALSE))</f>
        <v/>
      </c>
      <c r="AY14" s="38" t="str">
        <f>IF($C14="","",VLOOKUP($C14,CTBat!$G$10:$BR$203,AY$4,FALSE))</f>
        <v/>
      </c>
      <c r="AZ14" s="67" t="str">
        <f t="shared" si="23"/>
        <v/>
      </c>
    </row>
    <row r="15" spans="1:52">
      <c r="A15">
        <v>9</v>
      </c>
      <c r="B15" s="36" t="s">
        <v>101</v>
      </c>
      <c r="C15" s="65"/>
      <c r="D15" s="37" t="str">
        <f>IF($C15="","",VLOOKUP($C15,CTBat!$G$10:$BR$203,D$4,FALSE))</f>
        <v/>
      </c>
      <c r="E15" s="37" t="str">
        <f>IF($C15="","",VLOOKUP($C15,CTBat!$G$10:$BR$203,E$4,FALSE))</f>
        <v/>
      </c>
      <c r="F15" s="53" t="str">
        <f t="shared" si="3"/>
        <v/>
      </c>
      <c r="G15" s="275" t="str">
        <f t="shared" si="4"/>
        <v/>
      </c>
      <c r="H15" s="275" t="str">
        <f t="shared" si="5"/>
        <v/>
      </c>
      <c r="I15" s="275" t="str">
        <f t="shared" si="24"/>
        <v/>
      </c>
      <c r="J15" s="58" t="str">
        <f>IF($C15="","",VLOOKUP($C15,CTBat!$G$10:$BR$203,J$4,FALSE))</f>
        <v/>
      </c>
      <c r="K15" s="37" t="str">
        <f>IF($C15="","",VLOOKUP($C15,CTBat!$G$10:$BR$203,K$4,FALSE))</f>
        <v/>
      </c>
      <c r="L15" s="38" t="str">
        <f>IF($C15="","",VLOOKUP($C15,CTBat!$G$10:$BR$203,L$4,FALSE))</f>
        <v/>
      </c>
      <c r="M15" s="37" t="str">
        <f>IF($C15="","",VLOOKUP($C15,CTBat!$G$10:$BR$203,M$4,FALSE))</f>
        <v/>
      </c>
      <c r="N15" s="37" t="str">
        <f>IF($C15="","",VLOOKUP($C15,CTBat!$G$10:$BR$203,N$4,FALSE))</f>
        <v/>
      </c>
      <c r="O15" s="37" t="str">
        <f>IF($C15="","",VLOOKUP($C15,CTBat!$G$10:$BR$203,O$4,FALSE))</f>
        <v/>
      </c>
      <c r="P15" s="37" t="str">
        <f>IF($C15="","",VLOOKUP($C15,CTBat!$G$10:$BR$203,P$4,FALSE))</f>
        <v/>
      </c>
      <c r="Q15" s="37" t="str">
        <f>IF($C15="","",VLOOKUP($C15,CTBat!$G$10:$BR$203,Q$4,FALSE))</f>
        <v/>
      </c>
      <c r="R15" s="37" t="str">
        <f>IF($C15="","",VLOOKUP($C15,CTBat!$G$10:$BR$203,R$4,FALSE))</f>
        <v/>
      </c>
      <c r="S15" s="37" t="str">
        <f>IF($C15="","",VLOOKUP($C15,CTBat!$G$10:$BR$203,S$4,FALSE))</f>
        <v/>
      </c>
      <c r="T15" s="38" t="str">
        <f>IF($C15="","",VLOOKUP($C15,CTBat!$G$10:$BR$203,T$4,FALSE))</f>
        <v/>
      </c>
      <c r="U15" s="53" t="str">
        <f t="shared" si="1"/>
        <v/>
      </c>
      <c r="V15" s="275" t="str">
        <f t="shared" si="2"/>
        <v/>
      </c>
      <c r="W15" s="275" t="str">
        <f t="shared" si="6"/>
        <v/>
      </c>
      <c r="X15" s="275" t="str">
        <f t="shared" si="7"/>
        <v/>
      </c>
      <c r="Y15" s="275" t="str">
        <f t="shared" si="8"/>
        <v/>
      </c>
      <c r="Z15" s="275" t="str">
        <f t="shared" si="9"/>
        <v/>
      </c>
      <c r="AA15" s="275" t="str">
        <f t="shared" si="10"/>
        <v/>
      </c>
      <c r="AB15" s="275" t="str">
        <f t="shared" si="11"/>
        <v/>
      </c>
      <c r="AC15" s="276" t="str">
        <f t="shared" si="12"/>
        <v/>
      </c>
      <c r="AD15" s="37" t="str">
        <f>IF($C15="","",VLOOKUP($C15,CTBat!$G$10:$BR$203,AD$4,FALSE))</f>
        <v/>
      </c>
      <c r="AE15" s="37" t="str">
        <f>IF($C15="","",VLOOKUP($C15,CTBat!$G$10:$BR$203,AE$4,FALSE))</f>
        <v/>
      </c>
      <c r="AF15" s="37" t="str">
        <f>IF($C15="","",VLOOKUP($C15,CTBat!$G$10:$BR$203,AF$4,FALSE))</f>
        <v/>
      </c>
      <c r="AG15" s="37" t="str">
        <f>IF($C15="","",VLOOKUP($C15,CTBat!$G$10:$BR$203,AG$4,FALSE))</f>
        <v/>
      </c>
      <c r="AH15" s="37" t="str">
        <f>IF($C15="","",VLOOKUP($C15,CTBat!$G$10:$BR$203,AH$4,FALSE))</f>
        <v/>
      </c>
      <c r="AI15" s="58" t="str">
        <f>IF($C15="","",VLOOKUP($C15,CTBat!$G$10:$BR$203,AI$4,FALSE))</f>
        <v/>
      </c>
      <c r="AJ15" s="38" t="str">
        <f>IF($C15="","",VLOOKUP($C15,CTBat!$G$10:$BR$203,AJ$4,FALSE))</f>
        <v/>
      </c>
      <c r="AK15" s="67" t="str">
        <f t="shared" si="13"/>
        <v/>
      </c>
      <c r="AL15" s="53" t="str">
        <f t="shared" si="14"/>
        <v/>
      </c>
      <c r="AM15" s="275" t="str">
        <f t="shared" si="15"/>
        <v/>
      </c>
      <c r="AN15" s="275" t="str">
        <f t="shared" si="16"/>
        <v/>
      </c>
      <c r="AO15" s="275" t="str">
        <f t="shared" si="17"/>
        <v/>
      </c>
      <c r="AP15" s="275" t="str">
        <f t="shared" si="18"/>
        <v/>
      </c>
      <c r="AQ15" s="275" t="str">
        <f t="shared" si="19"/>
        <v/>
      </c>
      <c r="AR15" s="275" t="str">
        <f t="shared" si="20"/>
        <v/>
      </c>
      <c r="AS15" s="275" t="str">
        <f t="shared" si="21"/>
        <v/>
      </c>
      <c r="AT15" s="276" t="str">
        <f t="shared" si="22"/>
        <v/>
      </c>
      <c r="AU15" s="58" t="str">
        <f>IF($C15="","",VLOOKUP($C15,CTBat!$G$10:$BR$203,AU$4,FALSE))</f>
        <v/>
      </c>
      <c r="AV15" s="37" t="str">
        <f>IF($C15="","",VLOOKUP($C15,CTBat!$G$10:$BR$203,AV$4,FALSE))</f>
        <v/>
      </c>
      <c r="AW15" s="37" t="str">
        <f>IF($C15="","",VLOOKUP($C15,CTBat!$G$10:$BR$203,AW$4,FALSE))</f>
        <v/>
      </c>
      <c r="AX15" s="37" t="str">
        <f>IF($C15="","",VLOOKUP($C15,CTBat!$G$10:$BR$203,AX$4,FALSE))</f>
        <v/>
      </c>
      <c r="AY15" s="38" t="str">
        <f>IF($C15="","",VLOOKUP($C15,CTBat!$G$10:$BR$203,AY$4,FALSE))</f>
        <v/>
      </c>
      <c r="AZ15" s="67" t="str">
        <f t="shared" si="23"/>
        <v/>
      </c>
    </row>
    <row r="16" spans="1:52">
      <c r="A16">
        <v>9</v>
      </c>
      <c r="B16" s="36" t="s">
        <v>101</v>
      </c>
      <c r="C16" s="65"/>
      <c r="D16" s="37" t="str">
        <f>IF($C16="","",VLOOKUP($C16,CTBat!$G$10:$BR$203,D$4,FALSE))</f>
        <v/>
      </c>
      <c r="E16" s="37" t="str">
        <f>IF($C16="","",VLOOKUP($C16,CTBat!$G$10:$BR$203,E$4,FALSE))</f>
        <v/>
      </c>
      <c r="F16" s="53" t="str">
        <f t="shared" si="3"/>
        <v/>
      </c>
      <c r="G16" s="275" t="str">
        <f t="shared" si="4"/>
        <v/>
      </c>
      <c r="H16" s="275" t="str">
        <f t="shared" si="5"/>
        <v/>
      </c>
      <c r="I16" s="275" t="str">
        <f t="shared" si="24"/>
        <v/>
      </c>
      <c r="J16" s="58" t="str">
        <f>IF($C16="","",VLOOKUP($C16,CTBat!$G$10:$BR$203,J$4,FALSE))</f>
        <v/>
      </c>
      <c r="K16" s="37" t="str">
        <f>IF($C16="","",VLOOKUP($C16,CTBat!$G$10:$BR$203,K$4,FALSE))</f>
        <v/>
      </c>
      <c r="L16" s="38" t="str">
        <f>IF($C16="","",VLOOKUP($C16,CTBat!$G$10:$BR$203,L$4,FALSE))</f>
        <v/>
      </c>
      <c r="M16" s="37" t="str">
        <f>IF($C16="","",VLOOKUP($C16,CTBat!$G$10:$BR$203,M$4,FALSE))</f>
        <v/>
      </c>
      <c r="N16" s="37" t="str">
        <f>IF($C16="","",VLOOKUP($C16,CTBat!$G$10:$BR$203,N$4,FALSE))</f>
        <v/>
      </c>
      <c r="O16" s="37" t="str">
        <f>IF($C16="","",VLOOKUP($C16,CTBat!$G$10:$BR$203,O$4,FALSE))</f>
        <v/>
      </c>
      <c r="P16" s="37" t="str">
        <f>IF($C16="","",VLOOKUP($C16,CTBat!$G$10:$BR$203,P$4,FALSE))</f>
        <v/>
      </c>
      <c r="Q16" s="37" t="str">
        <f>IF($C16="","",VLOOKUP($C16,CTBat!$G$10:$BR$203,Q$4,FALSE))</f>
        <v/>
      </c>
      <c r="R16" s="37" t="str">
        <f>IF($C16="","",VLOOKUP($C16,CTBat!$G$10:$BR$203,R$4,FALSE))</f>
        <v/>
      </c>
      <c r="S16" s="37" t="str">
        <f>IF($C16="","",VLOOKUP($C16,CTBat!$G$10:$BR$203,S$4,FALSE))</f>
        <v/>
      </c>
      <c r="T16" s="38" t="str">
        <f>IF($C16="","",VLOOKUP($C16,CTBat!$G$10:$BR$203,T$4,FALSE))</f>
        <v/>
      </c>
      <c r="U16" s="53" t="str">
        <f t="shared" si="1"/>
        <v/>
      </c>
      <c r="V16" s="275" t="str">
        <f t="shared" si="2"/>
        <v/>
      </c>
      <c r="W16" s="275" t="str">
        <f t="shared" si="6"/>
        <v/>
      </c>
      <c r="X16" s="275" t="str">
        <f t="shared" si="7"/>
        <v/>
      </c>
      <c r="Y16" s="275" t="str">
        <f t="shared" si="8"/>
        <v/>
      </c>
      <c r="Z16" s="275" t="str">
        <f t="shared" si="9"/>
        <v/>
      </c>
      <c r="AA16" s="275" t="str">
        <f t="shared" si="10"/>
        <v/>
      </c>
      <c r="AB16" s="275" t="str">
        <f t="shared" si="11"/>
        <v/>
      </c>
      <c r="AC16" s="276" t="str">
        <f t="shared" si="12"/>
        <v/>
      </c>
      <c r="AD16" s="37" t="str">
        <f>IF($C16="","",VLOOKUP($C16,CTBat!$G$10:$BR$203,AD$4,FALSE))</f>
        <v/>
      </c>
      <c r="AE16" s="37" t="str">
        <f>IF($C16="","",VLOOKUP($C16,CTBat!$G$10:$BR$203,AE$4,FALSE))</f>
        <v/>
      </c>
      <c r="AF16" s="37" t="str">
        <f>IF($C16="","",VLOOKUP($C16,CTBat!$G$10:$BR$203,AF$4,FALSE))</f>
        <v/>
      </c>
      <c r="AG16" s="37" t="str">
        <f>IF($C16="","",VLOOKUP($C16,CTBat!$G$10:$BR$203,AG$4,FALSE))</f>
        <v/>
      </c>
      <c r="AH16" s="37" t="str">
        <f>IF($C16="","",VLOOKUP($C16,CTBat!$G$10:$BR$203,AH$4,FALSE))</f>
        <v/>
      </c>
      <c r="AI16" s="58" t="str">
        <f>IF($C16="","",VLOOKUP($C16,CTBat!$G$10:$BR$203,AI$4,FALSE))</f>
        <v/>
      </c>
      <c r="AJ16" s="38" t="str">
        <f>IF($C16="","",VLOOKUP($C16,CTBat!$G$10:$BR$203,AJ$4,FALSE))</f>
        <v/>
      </c>
      <c r="AK16" s="67" t="str">
        <f t="shared" si="13"/>
        <v/>
      </c>
      <c r="AL16" s="53" t="str">
        <f t="shared" si="14"/>
        <v/>
      </c>
      <c r="AM16" s="275" t="str">
        <f t="shared" si="15"/>
        <v/>
      </c>
      <c r="AN16" s="275" t="str">
        <f t="shared" si="16"/>
        <v/>
      </c>
      <c r="AO16" s="275" t="str">
        <f t="shared" si="17"/>
        <v/>
      </c>
      <c r="AP16" s="275" t="str">
        <f t="shared" si="18"/>
        <v/>
      </c>
      <c r="AQ16" s="275" t="str">
        <f t="shared" si="19"/>
        <v/>
      </c>
      <c r="AR16" s="275" t="str">
        <f t="shared" si="20"/>
        <v/>
      </c>
      <c r="AS16" s="275" t="str">
        <f t="shared" si="21"/>
        <v/>
      </c>
      <c r="AT16" s="276" t="str">
        <f t="shared" si="22"/>
        <v/>
      </c>
      <c r="AU16" s="58" t="str">
        <f>IF($C16="","",VLOOKUP($C16,CTBat!$G$10:$BR$203,AU$4,FALSE))</f>
        <v/>
      </c>
      <c r="AV16" s="37" t="str">
        <f>IF($C16="","",VLOOKUP($C16,CTBat!$G$10:$BR$203,AV$4,FALSE))</f>
        <v/>
      </c>
      <c r="AW16" s="37" t="str">
        <f>IF($C16="","",VLOOKUP($C16,CTBat!$G$10:$BR$203,AW$4,FALSE))</f>
        <v/>
      </c>
      <c r="AX16" s="37" t="str">
        <f>IF($C16="","",VLOOKUP($C16,CTBat!$G$10:$BR$203,AX$4,FALSE))</f>
        <v/>
      </c>
      <c r="AY16" s="38" t="str">
        <f>IF($C16="","",VLOOKUP($C16,CTBat!$G$10:$BR$203,AY$4,FALSE))</f>
        <v/>
      </c>
      <c r="AZ16" s="67" t="str">
        <f t="shared" si="23"/>
        <v/>
      </c>
    </row>
    <row r="17" spans="1:52">
      <c r="A17">
        <v>10</v>
      </c>
      <c r="B17" s="39" t="s">
        <v>101</v>
      </c>
      <c r="C17" s="40"/>
      <c r="D17" s="40" t="str">
        <f>IF($C17="","",VLOOKUP($C17,CTBat!$G$10:$BR$203,D$4,FALSE))</f>
        <v/>
      </c>
      <c r="E17" s="40" t="str">
        <f>IF($C17="","",VLOOKUP($C17,CTBat!$G$10:$BR$203,E$4,FALSE))</f>
        <v/>
      </c>
      <c r="F17" s="54" t="str">
        <f t="shared" si="3"/>
        <v/>
      </c>
      <c r="G17" s="273" t="str">
        <f t="shared" si="4"/>
        <v/>
      </c>
      <c r="H17" s="273" t="str">
        <f t="shared" si="5"/>
        <v/>
      </c>
      <c r="I17" s="273" t="str">
        <f t="shared" si="24"/>
        <v/>
      </c>
      <c r="J17" s="59" t="str">
        <f>IF($C17="","",VLOOKUP($C17,CTBat!$G$10:$BR$203,J$4,FALSE))</f>
        <v/>
      </c>
      <c r="K17" s="40" t="str">
        <f>IF($C17="","",VLOOKUP($C17,CTBat!$G$10:$BR$203,K$4,FALSE))</f>
        <v/>
      </c>
      <c r="L17" s="42" t="str">
        <f>IF($C17="","",VLOOKUP($C17,CTBat!$G$10:$BR$203,L$4,FALSE))</f>
        <v/>
      </c>
      <c r="M17" s="40" t="str">
        <f>IF($C17="","",VLOOKUP($C17,CTBat!$G$10:$BR$203,M$4,FALSE))</f>
        <v/>
      </c>
      <c r="N17" s="40" t="str">
        <f>IF($C17="","",VLOOKUP($C17,CTBat!$G$10:$BR$203,N$4,FALSE))</f>
        <v/>
      </c>
      <c r="O17" s="40" t="str">
        <f>IF($C17="","",VLOOKUP($C17,CTBat!$G$10:$BR$203,O$4,FALSE))</f>
        <v/>
      </c>
      <c r="P17" s="40" t="str">
        <f>IF($C17="","",VLOOKUP($C17,CTBat!$G$10:$BR$203,P$4,FALSE))</f>
        <v/>
      </c>
      <c r="Q17" s="40" t="str">
        <f>IF($C17="","",VLOOKUP($C17,CTBat!$G$10:$BR$203,Q$4,FALSE))</f>
        <v/>
      </c>
      <c r="R17" s="40" t="str">
        <f>IF($C17="","",VLOOKUP($C17,CTBat!$G$10:$BR$203,R$4,FALSE))</f>
        <v/>
      </c>
      <c r="S17" s="40" t="str">
        <f>IF($C17="","",VLOOKUP($C17,CTBat!$G$10:$BR$203,S$4,FALSE))</f>
        <v/>
      </c>
      <c r="T17" s="42" t="str">
        <f>IF($C17="","",VLOOKUP($C17,CTBat!$G$10:$BR$203,T$4,FALSE))</f>
        <v/>
      </c>
      <c r="U17" s="54" t="str">
        <f t="shared" si="1"/>
        <v/>
      </c>
      <c r="V17" s="273" t="str">
        <f t="shared" si="2"/>
        <v/>
      </c>
      <c r="W17" s="273" t="str">
        <f t="shared" si="6"/>
        <v/>
      </c>
      <c r="X17" s="273" t="str">
        <f t="shared" si="7"/>
        <v/>
      </c>
      <c r="Y17" s="273" t="str">
        <f t="shared" si="8"/>
        <v/>
      </c>
      <c r="Z17" s="273" t="str">
        <f t="shared" si="9"/>
        <v/>
      </c>
      <c r="AA17" s="273" t="str">
        <f t="shared" si="10"/>
        <v/>
      </c>
      <c r="AB17" s="273" t="str">
        <f t="shared" si="11"/>
        <v/>
      </c>
      <c r="AC17" s="274" t="str">
        <f t="shared" si="12"/>
        <v/>
      </c>
      <c r="AD17" s="40" t="str">
        <f>IF($C17="","",VLOOKUP($C17,CTBat!$G$10:$BR$203,AD$4,FALSE))</f>
        <v/>
      </c>
      <c r="AE17" s="40" t="str">
        <f>IF($C17="","",VLOOKUP($C17,CTBat!$G$10:$BR$203,AE$4,FALSE))</f>
        <v/>
      </c>
      <c r="AF17" s="40" t="str">
        <f>IF($C17="","",VLOOKUP($C17,CTBat!$G$10:$BR$203,AF$4,FALSE))</f>
        <v/>
      </c>
      <c r="AG17" s="40" t="str">
        <f>IF($C17="","",VLOOKUP($C17,CTBat!$G$10:$BR$203,AG$4,FALSE))</f>
        <v/>
      </c>
      <c r="AH17" s="40" t="str">
        <f>IF($C17="","",VLOOKUP($C17,CTBat!$G$10:$BR$203,AH$4,FALSE))</f>
        <v/>
      </c>
      <c r="AI17" s="59" t="str">
        <f>IF($C17="","",VLOOKUP($C17,CTBat!$G$10:$BR$203,AI$4,FALSE))</f>
        <v/>
      </c>
      <c r="AJ17" s="42" t="str">
        <f>IF($C17="","",VLOOKUP($C17,CTBat!$G$10:$BR$203,AJ$4,FALSE))</f>
        <v/>
      </c>
      <c r="AK17" s="68" t="str">
        <f t="shared" si="13"/>
        <v/>
      </c>
      <c r="AL17" s="54" t="str">
        <f t="shared" si="14"/>
        <v/>
      </c>
      <c r="AM17" s="273" t="str">
        <f t="shared" si="15"/>
        <v/>
      </c>
      <c r="AN17" s="273" t="str">
        <f t="shared" si="16"/>
        <v/>
      </c>
      <c r="AO17" s="273" t="str">
        <f t="shared" si="17"/>
        <v/>
      </c>
      <c r="AP17" s="273" t="str">
        <f t="shared" si="18"/>
        <v/>
      </c>
      <c r="AQ17" s="273" t="str">
        <f t="shared" si="19"/>
        <v/>
      </c>
      <c r="AR17" s="273" t="str">
        <f t="shared" si="20"/>
        <v/>
      </c>
      <c r="AS17" s="273" t="str">
        <f t="shared" si="21"/>
        <v/>
      </c>
      <c r="AT17" s="274" t="str">
        <f t="shared" si="22"/>
        <v/>
      </c>
      <c r="AU17" s="59" t="str">
        <f>IF($C17="","",VLOOKUP($C17,CTBat!$G$10:$BR$203,AU$4,FALSE))</f>
        <v/>
      </c>
      <c r="AV17" s="40" t="str">
        <f>IF($C17="","",VLOOKUP($C17,CTBat!$G$10:$BR$203,AV$4,FALSE))</f>
        <v/>
      </c>
      <c r="AW17" s="40" t="str">
        <f>IF($C17="","",VLOOKUP($C17,CTBat!$G$10:$BR$203,AW$4,FALSE))</f>
        <v/>
      </c>
      <c r="AX17" s="40" t="str">
        <f>IF($C17="","",VLOOKUP($C17,CTBat!$G$10:$BR$203,AX$4,FALSE))</f>
        <v/>
      </c>
      <c r="AY17" s="42" t="str">
        <f>IF($C17="","",VLOOKUP($C17,CTBat!$G$10:$BR$203,AY$4,FALSE))</f>
        <v/>
      </c>
      <c r="AZ17" s="68" t="str">
        <f t="shared" si="23"/>
        <v/>
      </c>
    </row>
    <row r="19" spans="1:52" s="24" customFormat="1" ht="196.5">
      <c r="A19" s="25" t="s">
        <v>193</v>
      </c>
      <c r="B19" s="270" t="s">
        <v>125</v>
      </c>
      <c r="C19" s="44" t="str">
        <f>"Player ("&amp;COUNTA(C20:C27)&amp;")"</f>
        <v>Player (2)</v>
      </c>
      <c r="D19" s="44" t="s">
        <v>91</v>
      </c>
      <c r="E19" s="44" t="s">
        <v>101</v>
      </c>
      <c r="F19" s="51" t="str">
        <f>"Only 1 guy who only plays 2B ("&amp;SUM(F20:F27)&amp;")"</f>
        <v>Only 1 guy who only plays 2B (0)</v>
      </c>
      <c r="G19" s="46" t="str">
        <f>"2 Guys Who Play SS ("&amp;SUM(G20:G27)&amp;")"</f>
        <v>2 Guys Who Play SS (1)</v>
      </c>
      <c r="H19" s="46" t="str">
        <f>"2 guys with 3B arm ("&amp;SUM(H20:H27)&amp;")"</f>
        <v>2 guys with 3B arm (2)</v>
      </c>
      <c r="I19" s="49" t="s">
        <v>41</v>
      </c>
      <c r="J19" s="47" t="s">
        <v>136</v>
      </c>
      <c r="K19" s="47" t="s">
        <v>134</v>
      </c>
      <c r="L19" s="47" t="s">
        <v>135</v>
      </c>
      <c r="M19" s="63" t="s">
        <v>92</v>
      </c>
      <c r="N19" s="48" t="s">
        <v>94</v>
      </c>
      <c r="O19" s="48" t="s">
        <v>95</v>
      </c>
      <c r="P19" s="48" t="s">
        <v>96</v>
      </c>
      <c r="Q19" s="48" t="s">
        <v>97</v>
      </c>
      <c r="R19" s="48" t="s">
        <v>98</v>
      </c>
      <c r="S19" s="48" t="s">
        <v>99</v>
      </c>
      <c r="T19" s="49" t="s">
        <v>100</v>
      </c>
      <c r="U19" s="45" t="s">
        <v>137</v>
      </c>
      <c r="V19" s="45" t="s">
        <v>181</v>
      </c>
      <c r="W19" s="45" t="s">
        <v>138</v>
      </c>
      <c r="X19" s="45" t="s">
        <v>139</v>
      </c>
      <c r="Y19" s="45" t="s">
        <v>140</v>
      </c>
      <c r="Z19" s="45" t="s">
        <v>141</v>
      </c>
      <c r="AA19" s="45" t="s">
        <v>142</v>
      </c>
      <c r="AB19" s="45" t="s">
        <v>144</v>
      </c>
      <c r="AC19" s="45" t="s">
        <v>143</v>
      </c>
      <c r="AD19" s="63" t="s">
        <v>147</v>
      </c>
      <c r="AE19" s="48" t="s">
        <v>148</v>
      </c>
      <c r="AF19" s="48" t="s">
        <v>149</v>
      </c>
      <c r="AG19" s="48" t="s">
        <v>150</v>
      </c>
      <c r="AH19" s="48" t="s">
        <v>29</v>
      </c>
      <c r="AI19" s="48" t="s">
        <v>151</v>
      </c>
      <c r="AJ19" s="49" t="s">
        <v>152</v>
      </c>
      <c r="AK19" s="66" t="s">
        <v>157</v>
      </c>
      <c r="AL19" s="45" t="s">
        <v>137</v>
      </c>
      <c r="AM19" s="45" t="s">
        <v>181</v>
      </c>
      <c r="AN19" s="45" t="s">
        <v>138</v>
      </c>
      <c r="AO19" s="45" t="s">
        <v>139</v>
      </c>
      <c r="AP19" s="45" t="s">
        <v>140</v>
      </c>
      <c r="AQ19" s="45" t="s">
        <v>141</v>
      </c>
      <c r="AR19" s="45" t="s">
        <v>142</v>
      </c>
      <c r="AS19" s="45" t="s">
        <v>144</v>
      </c>
      <c r="AT19" s="45" t="s">
        <v>143</v>
      </c>
      <c r="AU19" s="63" t="s">
        <v>147</v>
      </c>
      <c r="AV19" s="48" t="s">
        <v>148</v>
      </c>
      <c r="AW19" s="48" t="s">
        <v>149</v>
      </c>
      <c r="AX19" s="48" t="s">
        <v>150</v>
      </c>
      <c r="AY19" s="49" t="s">
        <v>29</v>
      </c>
      <c r="AZ19" s="66" t="s">
        <v>197</v>
      </c>
    </row>
    <row r="20" spans="1:52">
      <c r="A20">
        <v>1</v>
      </c>
      <c r="B20" s="36" t="s">
        <v>95</v>
      </c>
      <c r="C20" s="37"/>
      <c r="D20" s="37" t="str">
        <f>IF($C20="","",VLOOKUP($C20,CTBat!$G$10:$BR$203,D$4,FALSE))</f>
        <v/>
      </c>
      <c r="E20" s="33" t="str">
        <f>IF($C20="","",VLOOKUP($C20,CTBat!$G$10:$BR$203,E$4,FALSE))</f>
        <v/>
      </c>
      <c r="F20" s="53" t="str">
        <f>IF($C20="","",IF(AND(O20&gt;0,O20=SUM(M20:T20)),1,0))</f>
        <v/>
      </c>
      <c r="G20" s="275" t="str">
        <f t="shared" ref="G20:G26" si="25">IF($C20="","",IF(Q20&lt;&gt;"-",1,0))</f>
        <v/>
      </c>
      <c r="H20" s="275" t="str">
        <f>IF($C20="","",IF(AND(K20&gt;5,P20&lt;&gt;"-"),1,0))</f>
        <v/>
      </c>
      <c r="I20" s="276" t="str">
        <f>IF($C20="","","-")</f>
        <v/>
      </c>
      <c r="J20" s="37" t="str">
        <f>IF($C20="","",VLOOKUP($C20,CTBat!$G$10:$BR$203,J$4,FALSE))</f>
        <v/>
      </c>
      <c r="K20" s="37" t="str">
        <f>IF($C20="","",VLOOKUP($C20,CTBat!$G$10:$BR$203,K$4,FALSE))</f>
        <v/>
      </c>
      <c r="L20" s="37" t="str">
        <f>IF($C20="","",VLOOKUP($C20,CTBat!$G$10:$BR$203,L$4,FALSE))</f>
        <v/>
      </c>
      <c r="M20" s="58" t="str">
        <f>IF($C20="","",VLOOKUP($C20,CTBat!$G$10:$BR$203,M$4,FALSE))</f>
        <v/>
      </c>
      <c r="N20" s="37" t="str">
        <f>IF($C20="","",VLOOKUP($C20,CTBat!$G$10:$BR$203,N$4,FALSE))</f>
        <v/>
      </c>
      <c r="O20" s="37" t="str">
        <f>IF($C20="","",VLOOKUP($C20,CTBat!$G$10:$BR$203,O$4,FALSE))</f>
        <v/>
      </c>
      <c r="P20" s="37" t="str">
        <f>IF($C20="","",VLOOKUP($C20,CTBat!$G$10:$BR$203,P$4,FALSE))</f>
        <v/>
      </c>
      <c r="Q20" s="37" t="str">
        <f>IF($C20="","",VLOOKUP($C20,CTBat!$G$10:$BR$203,Q$4,FALSE))</f>
        <v/>
      </c>
      <c r="R20" s="37" t="str">
        <f>IF($C20="","",VLOOKUP($C20,CTBat!$G$10:$BR$203,R$4,FALSE))</f>
        <v/>
      </c>
      <c r="S20" s="37" t="str">
        <f>IF($C20="","",VLOOKUP($C20,CTBat!$G$10:$BR$203,S$4,FALSE))</f>
        <v/>
      </c>
      <c r="T20" s="38" t="str">
        <f>IF($C20="","",VLOOKUP($C20,CTBat!$G$10:$BR$203,T$4,FALSE))</f>
        <v/>
      </c>
      <c r="U20" s="275" t="str">
        <f t="shared" ref="U20:U21" si="26">IF($C20="","",IF(OR(AD20+AG20&gt;14,AND(OR(AD20+AG20&gt;12,AND(AD20&gt;6,AG20&gt;6)),AI20&gt;6,OR(AJ20&gt;=AI20,AJ20&gt;6))),1,0))</f>
        <v/>
      </c>
      <c r="V20" s="275" t="str">
        <f t="shared" ref="V20:V27" si="27">IF($C20="","",IF(OR(AND(AD20&gt;6,AH20&gt;6),AD20+AG20&gt;12),1,0))</f>
        <v/>
      </c>
      <c r="W20" s="275" t="str">
        <f>IF($C20="","",IF(AND(AD20&gt;6,AF20&gt;6,AG20&gt;6),1,0))</f>
        <v/>
      </c>
      <c r="X20" s="275" t="str">
        <f t="shared" ref="X20:X27" si="28">IF($C20="","",IF(AND(AF20&gt;7,OR(AD20&gt;6,AG20&gt;6)),1,0))</f>
        <v/>
      </c>
      <c r="Y20" s="275" t="str">
        <f t="shared" ref="Y20:Y27" si="29">IF($C20="","",IF(AND(AF20&gt;6,OR(AD20&gt;6,AG20&gt;6)),1,0))</f>
        <v/>
      </c>
      <c r="Z20" s="275" t="str">
        <f t="shared" ref="Z20:Z27" si="30">IF($C20="","",IF(AND(OR(AD20&gt;6,AF20&gt;6),OR(AD20&gt;6,AG20&gt;6)),1,0))</f>
        <v/>
      </c>
      <c r="AA20" s="275" t="str">
        <f t="shared" ref="AA20:AA27" si="31">IF($C20="","",IF(AND(AD20&gt;4,OR(AD20&gt;6,AF20&gt;6,AG20&gt;6)),1,0))</f>
        <v/>
      </c>
      <c r="AB20" s="275" t="str">
        <f t="shared" ref="AB20:AB27" si="32">IF($C20="","",IF(AND(AD20&gt;4,OR(AD20&gt;6,AE20&gt;6,AF20&gt;6,AG20&gt;6)),1,0))</f>
        <v/>
      </c>
      <c r="AC20" s="275" t="str">
        <f t="shared" ref="AC20:AC27" si="33">IF($C20="","",IF(AND(AD20&gt;4,MAX(AD20:AH20)&gt;6),1,0))</f>
        <v/>
      </c>
      <c r="AD20" s="58" t="str">
        <f>IF($C20="","",VLOOKUP($C20,CTBat!$G$10:$BR$203,AD$4,FALSE))</f>
        <v/>
      </c>
      <c r="AE20" s="37" t="str">
        <f>IF($C20="","",VLOOKUP($C20,CTBat!$G$10:$BR$203,AE$4,FALSE))</f>
        <v/>
      </c>
      <c r="AF20" s="37" t="str">
        <f>IF($C20="","",VLOOKUP($C20,CTBat!$G$10:$BR$203,AF$4,FALSE))</f>
        <v/>
      </c>
      <c r="AG20" s="37" t="str">
        <f>IF($C20="","",VLOOKUP($C20,CTBat!$G$10:$BR$203,AG$4,FALSE))</f>
        <v/>
      </c>
      <c r="AH20" s="37" t="str">
        <f>IF($C20="","",VLOOKUP($C20,CTBat!$G$10:$BR$203,AH$4,FALSE))</f>
        <v/>
      </c>
      <c r="AI20" s="37" t="str">
        <f>IF($C20="","",VLOOKUP($C20,CTBat!$G$10:$BR$203,AI$4,FALSE))</f>
        <v/>
      </c>
      <c r="AJ20" s="38" t="str">
        <f>IF($C20="","",VLOOKUP($C20,CTBat!$G$10:$BR$203,AJ$4,FALSE))</f>
        <v/>
      </c>
      <c r="AK20" s="67" t="str">
        <f>IF($C20="","",(5*AD20+4*AF20+3*AG20+2*AE20+1*AH20+0.5*(AVERAGE(AD20:AE20))+0.5*AVERAGE(AD20,AH20)+1*(AVERAGE(AD20,AF20))+1*AVERAGE(AD20,AG20))/(5+4+3+2+1+0.5+0.5+1+1))</f>
        <v/>
      </c>
      <c r="AL20" s="275" t="str">
        <f t="shared" ref="AL20:AL27" si="34">IF($C20="","",IF(AND(OR(AU20+AX20&gt;12,AND(AU20&gt;6,AX20&gt;6)),AI20&gt;6,OR(AJ20&gt;=AI20,AJ20&gt;6)),1,0))</f>
        <v/>
      </c>
      <c r="AM20" s="275" t="str">
        <f t="shared" ref="AM20:AM27" si="35">IF($C20="","",IF(OR(AND(AU20&gt;6,AY20&gt;6),AU20+AX20&gt;12),1,0))</f>
        <v/>
      </c>
      <c r="AN20" s="275" t="str">
        <f t="shared" ref="AN20:AN27" si="36">IF($C20="","",IF(AND(AU20&gt;6,AW20&gt;6,AX20&gt;6),1,0))</f>
        <v/>
      </c>
      <c r="AO20" s="275" t="str">
        <f t="shared" ref="AO20:AO27" si="37">IF($C20="","",IF(AND(AW20&gt;7,OR(AU20&gt;6,AX20&gt;6)),1,0))</f>
        <v/>
      </c>
      <c r="AP20" s="275" t="str">
        <f t="shared" ref="AP20:AP27" si="38">IF($C20="","",IF(AND(AW20&gt;6,OR(AU20&gt;6,AX20&gt;6)),1,0))</f>
        <v/>
      </c>
      <c r="AQ20" s="275" t="str">
        <f t="shared" ref="AQ20:AQ27" si="39">IF($C20="","",IF(AND(OR(AU20&gt;6,AW20&gt;6),OR(AU20&gt;6,AX20&gt;6)),1,0))</f>
        <v/>
      </c>
      <c r="AR20" s="275" t="str">
        <f t="shared" ref="AR20:AR27" si="40">IF($C20="","",IF(AND(AU20&gt;4,OR(AU20&gt;6,AW20&gt;6,AX20&gt;6)),1,0))</f>
        <v/>
      </c>
      <c r="AS20" s="275" t="str">
        <f t="shared" ref="AS20:AS27" si="41">IF($C20="","",IF(AND(AU20&gt;4,OR(AU20&gt;6,AV20&gt;6,AW20&gt;6,AX20&gt;6)),1,0))</f>
        <v/>
      </c>
      <c r="AT20" s="275" t="str">
        <f t="shared" ref="AT20:AT27" si="42">IF($C20="","",IF(AND(AU20&gt;4,MAX(AU20:AY20)&gt;6),1,0))</f>
        <v/>
      </c>
      <c r="AU20" s="58" t="str">
        <f>IF($C20="","",VLOOKUP($C20,CTBat!$G$10:$BR$203,AU$4,FALSE))</f>
        <v/>
      </c>
      <c r="AV20" s="37" t="str">
        <f>IF($C20="","",VLOOKUP($C20,CTBat!$G$10:$BR$203,AV$4,FALSE))</f>
        <v/>
      </c>
      <c r="AW20" s="37" t="str">
        <f>IF($C20="","",VLOOKUP($C20,CTBat!$G$10:$BR$203,AW$4,FALSE))</f>
        <v/>
      </c>
      <c r="AX20" s="37" t="str">
        <f>IF($C20="","",VLOOKUP($C20,CTBat!$G$10:$BR$203,AX$4,FALSE))</f>
        <v/>
      </c>
      <c r="AY20" s="38" t="str">
        <f>IF($C20="","",VLOOKUP($C20,CTBat!$G$10:$BR$203,AY$4,FALSE))</f>
        <v/>
      </c>
      <c r="AZ20" s="67" t="str">
        <f t="shared" ref="AZ20:AZ27" si="43">IF($C20="","",(5*AU20+4*AW20+3*AX20+2*AV20+1*AY20+0.5*(AVERAGE(AU20:AV20))+0.5*AVERAGE(AU20,AY20)+1*(AVERAGE(AU20,AW20))+1*AVERAGE(AU20,AX20))/(5+4+3+2+1+0.5+0.5+1+1))</f>
        <v/>
      </c>
    </row>
    <row r="21" spans="1:52">
      <c r="A21">
        <v>2</v>
      </c>
      <c r="B21" s="36" t="s">
        <v>96</v>
      </c>
      <c r="C21" s="37" t="s">
        <v>386</v>
      </c>
      <c r="D21" s="37">
        <f>IF($C21="","",VLOOKUP($C21,CTBat!$G$10:$BR$203,D$4,FALSE))</f>
        <v>24</v>
      </c>
      <c r="E21" s="37" t="str">
        <f>IF($C21="","",VLOOKUP($C21,CTBat!$G$10:$BR$203,E$4,FALSE))</f>
        <v>R</v>
      </c>
      <c r="F21" s="53">
        <f t="shared" ref="F21:F27" si="44">IF($C21="","",IF(AND(O21&gt;0,O21=SUM(M21:T21)),1,0))</f>
        <v>0</v>
      </c>
      <c r="G21" s="275">
        <f t="shared" si="25"/>
        <v>0</v>
      </c>
      <c r="H21" s="275">
        <f>IF($C21="","",IF(AND(K21&gt;5,P21&lt;&gt;"-"),1,0))</f>
        <v>1</v>
      </c>
      <c r="I21" s="276" t="str">
        <f t="shared" ref="I21:I27" si="45">IF($C21="","","-")</f>
        <v>-</v>
      </c>
      <c r="J21" s="37">
        <f>IF($C21="","",VLOOKUP($C21,CTBat!$G$10:$BR$203,J$4,FALSE))</f>
        <v>1</v>
      </c>
      <c r="K21" s="37">
        <f>IF($C21="","",VLOOKUP($C21,CTBat!$G$10:$BR$203,K$4,FALSE))</f>
        <v>9</v>
      </c>
      <c r="L21" s="37">
        <f>IF($C21="","",VLOOKUP($C21,CTBat!$G$10:$BR$203,L$4,FALSE))</f>
        <v>9</v>
      </c>
      <c r="M21" s="58" t="str">
        <f>IF($C21="","",VLOOKUP($C21,CTBat!$G$10:$BR$203,M$4,FALSE))</f>
        <v>-</v>
      </c>
      <c r="N21" s="37">
        <f>IF($C21="","",VLOOKUP($C21,CTBat!$G$10:$BR$203,N$4,FALSE))</f>
        <v>7</v>
      </c>
      <c r="O21" s="37" t="str">
        <f>IF($C21="","",VLOOKUP($C21,CTBat!$G$10:$BR$203,O$4,FALSE))</f>
        <v>-</v>
      </c>
      <c r="P21" s="37">
        <f>IF($C21="","",VLOOKUP($C21,CTBat!$G$10:$BR$203,P$4,FALSE))</f>
        <v>8</v>
      </c>
      <c r="Q21" s="37" t="str">
        <f>IF($C21="","",VLOOKUP($C21,CTBat!$G$10:$BR$203,Q$4,FALSE))</f>
        <v>-</v>
      </c>
      <c r="R21" s="37">
        <f>IF($C21="","",VLOOKUP($C21,CTBat!$G$10:$BR$203,R$4,FALSE))</f>
        <v>4</v>
      </c>
      <c r="S21" s="37">
        <f>IF($C21="","",VLOOKUP($C21,CTBat!$G$10:$BR$203,S$4,FALSE))</f>
        <v>2</v>
      </c>
      <c r="T21" s="38">
        <f>IF($C21="","",VLOOKUP($C21,CTBat!$G$10:$BR$203,T$4,FALSE))</f>
        <v>4</v>
      </c>
      <c r="U21" s="275">
        <f t="shared" si="26"/>
        <v>0</v>
      </c>
      <c r="V21" s="275">
        <f t="shared" si="27"/>
        <v>0</v>
      </c>
      <c r="W21" s="275">
        <f t="shared" ref="W21:W27" si="46">IF($C21="","",IF(AND(AD21&gt;6,AF21&gt;6,AG21&gt;6),1,0))</f>
        <v>0</v>
      </c>
      <c r="X21" s="275">
        <f t="shared" si="28"/>
        <v>0</v>
      </c>
      <c r="Y21" s="275">
        <f t="shared" si="29"/>
        <v>0</v>
      </c>
      <c r="Z21" s="275">
        <f t="shared" si="30"/>
        <v>1</v>
      </c>
      <c r="AA21" s="275">
        <f t="shared" si="31"/>
        <v>1</v>
      </c>
      <c r="AB21" s="275">
        <f t="shared" si="32"/>
        <v>1</v>
      </c>
      <c r="AC21" s="275">
        <f t="shared" si="33"/>
        <v>1</v>
      </c>
      <c r="AD21" s="58">
        <f>IF($C21="","",VLOOKUP($C21,CTBat!$G$10:$BR$203,AD$4,FALSE))</f>
        <v>7</v>
      </c>
      <c r="AE21" s="37">
        <f>IF($C21="","",VLOOKUP($C21,CTBat!$G$10:$BR$203,AE$4,FALSE))</f>
        <v>5</v>
      </c>
      <c r="AF21" s="37">
        <f>IF($C21="","",VLOOKUP($C21,CTBat!$G$10:$BR$203,AF$4,FALSE))</f>
        <v>5</v>
      </c>
      <c r="AG21" s="37">
        <f>IF($C21="","",VLOOKUP($C21,CTBat!$G$10:$BR$203,AG$4,FALSE))</f>
        <v>3</v>
      </c>
      <c r="AH21" s="37">
        <f>IF($C21="","",VLOOKUP($C21,CTBat!$G$10:$BR$203,AH$4,FALSE))</f>
        <v>4</v>
      </c>
      <c r="AI21" s="37">
        <f>IF($C21="","",VLOOKUP($C21,CTBat!$G$10:$BR$203,AI$4,FALSE))</f>
        <v>2</v>
      </c>
      <c r="AJ21" s="38">
        <f>IF($C21="","",VLOOKUP($C21,CTBat!$G$10:$BR$203,AJ$4,FALSE))</f>
        <v>5</v>
      </c>
      <c r="AK21" s="67">
        <f t="shared" ref="AK21:AK27" si="47">IF($C21="","",(5*AD21+4*AF21+3*AG21+2*AE21+1*AH21+0.5*(AVERAGE(AD21:AE21))+0.5*AVERAGE(AD21,AH21)+1*(AVERAGE(AD21,AF21))+1*AVERAGE(AD21,AG21))/(5+4+3+2+1+0.5+0.5+1+1))</f>
        <v>5.2638888888888893</v>
      </c>
      <c r="AL21" s="275">
        <f t="shared" si="34"/>
        <v>0</v>
      </c>
      <c r="AM21" s="275">
        <f t="shared" si="35"/>
        <v>1</v>
      </c>
      <c r="AN21" s="275">
        <f t="shared" si="36"/>
        <v>0</v>
      </c>
      <c r="AO21" s="275">
        <f t="shared" si="37"/>
        <v>0</v>
      </c>
      <c r="AP21" s="275">
        <f t="shared" si="38"/>
        <v>1</v>
      </c>
      <c r="AQ21" s="275">
        <f t="shared" si="39"/>
        <v>1</v>
      </c>
      <c r="AR21" s="275">
        <f t="shared" si="40"/>
        <v>1</v>
      </c>
      <c r="AS21" s="275">
        <f t="shared" si="41"/>
        <v>1</v>
      </c>
      <c r="AT21" s="275">
        <f t="shared" si="42"/>
        <v>1</v>
      </c>
      <c r="AU21" s="58">
        <f>IF($C21="","",VLOOKUP($C21,CTBat!$G$10:$BR$203,AU$4,FALSE))</f>
        <v>8</v>
      </c>
      <c r="AV21" s="37">
        <f>IF($C21="","",VLOOKUP($C21,CTBat!$G$10:$BR$203,AV$4,FALSE))</f>
        <v>5</v>
      </c>
      <c r="AW21" s="37">
        <f>IF($C21="","",VLOOKUP($C21,CTBat!$G$10:$BR$203,AW$4,FALSE))</f>
        <v>7</v>
      </c>
      <c r="AX21" s="37">
        <f>IF($C21="","",VLOOKUP($C21,CTBat!$G$10:$BR$203,AX$4,FALSE))</f>
        <v>5</v>
      </c>
      <c r="AY21" s="38">
        <f>IF($C21="","",VLOOKUP($C21,CTBat!$G$10:$BR$203,AY$4,FALSE))</f>
        <v>5</v>
      </c>
      <c r="AZ21" s="67">
        <f t="shared" si="43"/>
        <v>6.583333333333333</v>
      </c>
    </row>
    <row r="22" spans="1:52">
      <c r="A22">
        <v>3</v>
      </c>
      <c r="B22" s="36" t="s">
        <v>97</v>
      </c>
      <c r="C22" s="37" t="s">
        <v>438</v>
      </c>
      <c r="D22" s="37">
        <f>IF($C22="","",VLOOKUP($C22,CTBat!$G$10:$BR$203,D$4,FALSE))</f>
        <v>24</v>
      </c>
      <c r="E22" s="37" t="str">
        <f>IF($C22="","",VLOOKUP($C22,CTBat!$G$10:$BR$203,E$4,FALSE))</f>
        <v>R</v>
      </c>
      <c r="F22" s="53">
        <f t="shared" si="44"/>
        <v>0</v>
      </c>
      <c r="G22" s="275">
        <f t="shared" si="25"/>
        <v>1</v>
      </c>
      <c r="H22" s="275">
        <f t="shared" ref="H22:H27" si="48">IF($C22="","",IF(AND(K22&gt;5,P22&lt;&gt;"-"),1,0))</f>
        <v>1</v>
      </c>
      <c r="I22" s="276" t="str">
        <f t="shared" si="45"/>
        <v>-</v>
      </c>
      <c r="J22" s="37">
        <f>IF($C22="","",VLOOKUP($C22,CTBat!$G$10:$BR$203,J$4,FALSE))</f>
        <v>1</v>
      </c>
      <c r="K22" s="37">
        <f>IF($C22="","",VLOOKUP($C22,CTBat!$G$10:$BR$203,K$4,FALSE))</f>
        <v>9</v>
      </c>
      <c r="L22" s="37">
        <f>IF($C22="","",VLOOKUP($C22,CTBat!$G$10:$BR$203,L$4,FALSE))</f>
        <v>8</v>
      </c>
      <c r="M22" s="58" t="str">
        <f>IF($C22="","",VLOOKUP($C22,CTBat!$G$10:$BR$203,M$4,FALSE))</f>
        <v>-</v>
      </c>
      <c r="N22" s="37">
        <f>IF($C22="","",VLOOKUP($C22,CTBat!$G$10:$BR$203,N$4,FALSE))</f>
        <v>8</v>
      </c>
      <c r="O22" s="37">
        <f>IF($C22="","",VLOOKUP($C22,CTBat!$G$10:$BR$203,O$4,FALSE))</f>
        <v>5</v>
      </c>
      <c r="P22" s="37">
        <f>IF($C22="","",VLOOKUP($C22,CTBat!$G$10:$BR$203,P$4,FALSE))</f>
        <v>8</v>
      </c>
      <c r="Q22" s="37">
        <f>IF($C22="","",VLOOKUP($C22,CTBat!$G$10:$BR$203,Q$4,FALSE))</f>
        <v>7</v>
      </c>
      <c r="R22" s="37">
        <f>IF($C22="","",VLOOKUP($C22,CTBat!$G$10:$BR$203,R$4,FALSE))</f>
        <v>6</v>
      </c>
      <c r="S22" s="37" t="str">
        <f>IF($C22="","",VLOOKUP($C22,CTBat!$G$10:$BR$203,S$4,FALSE))</f>
        <v>-</v>
      </c>
      <c r="T22" s="38" t="str">
        <f>IF($C22="","",VLOOKUP($C22,CTBat!$G$10:$BR$203,T$4,FALSE))</f>
        <v>-</v>
      </c>
      <c r="U22" s="275">
        <f>IF($C22="","",IF(OR(AD22+AG22&gt;14,AND(OR(AD22+AG22&gt;12,AND(AD22&gt;6,AG22&gt;6)),AI22&gt;6,OR(AJ22&gt;=AI22,AJ22&gt;6))),1,0))</f>
        <v>0</v>
      </c>
      <c r="V22" s="275">
        <f t="shared" si="27"/>
        <v>0</v>
      </c>
      <c r="W22" s="275">
        <f t="shared" si="46"/>
        <v>0</v>
      </c>
      <c r="X22" s="275">
        <f t="shared" si="28"/>
        <v>0</v>
      </c>
      <c r="Y22" s="275">
        <f t="shared" si="29"/>
        <v>0</v>
      </c>
      <c r="Z22" s="275">
        <f t="shared" si="30"/>
        <v>0</v>
      </c>
      <c r="AA22" s="275">
        <f t="shared" si="31"/>
        <v>0</v>
      </c>
      <c r="AB22" s="275">
        <f t="shared" si="32"/>
        <v>0</v>
      </c>
      <c r="AC22" s="275">
        <f t="shared" si="33"/>
        <v>0</v>
      </c>
      <c r="AD22" s="58">
        <f>IF($C22="","",VLOOKUP($C22,CTBat!$G$10:$BR$203,AD$4,FALSE))</f>
        <v>5</v>
      </c>
      <c r="AE22" s="37">
        <f>IF($C22="","",VLOOKUP($C22,CTBat!$G$10:$BR$203,AE$4,FALSE))</f>
        <v>6</v>
      </c>
      <c r="AF22" s="37">
        <f>IF($C22="","",VLOOKUP($C22,CTBat!$G$10:$BR$203,AF$4,FALSE))</f>
        <v>5</v>
      </c>
      <c r="AG22" s="37">
        <f>IF($C22="","",VLOOKUP($C22,CTBat!$G$10:$BR$203,AG$4,FALSE))</f>
        <v>5</v>
      </c>
      <c r="AH22" s="37">
        <f>IF($C22="","",VLOOKUP($C22,CTBat!$G$10:$BR$203,AH$4,FALSE))</f>
        <v>4</v>
      </c>
      <c r="AI22" s="37">
        <f>IF($C22="","",VLOOKUP($C22,CTBat!$G$10:$BR$203,AI$4,FALSE))</f>
        <v>7</v>
      </c>
      <c r="AJ22" s="38">
        <f>IF($C22="","",VLOOKUP($C22,CTBat!$G$10:$BR$203,AJ$4,FALSE))</f>
        <v>8</v>
      </c>
      <c r="AK22" s="67">
        <f t="shared" si="47"/>
        <v>5.0555555555555554</v>
      </c>
      <c r="AL22" s="275">
        <f t="shared" si="34"/>
        <v>0</v>
      </c>
      <c r="AM22" s="275">
        <f t="shared" si="35"/>
        <v>0</v>
      </c>
      <c r="AN22" s="275">
        <f t="shared" si="36"/>
        <v>0</v>
      </c>
      <c r="AO22" s="275">
        <f t="shared" si="37"/>
        <v>0</v>
      </c>
      <c r="AP22" s="275">
        <f t="shared" si="38"/>
        <v>0</v>
      </c>
      <c r="AQ22" s="275">
        <f t="shared" si="39"/>
        <v>0</v>
      </c>
      <c r="AR22" s="275">
        <f t="shared" si="40"/>
        <v>0</v>
      </c>
      <c r="AS22" s="275">
        <f t="shared" si="41"/>
        <v>0</v>
      </c>
      <c r="AT22" s="275">
        <f t="shared" si="42"/>
        <v>0</v>
      </c>
      <c r="AU22" s="58">
        <f>IF($C22="","",VLOOKUP($C22,CTBat!$G$10:$BR$203,AU$4,FALSE))</f>
        <v>5</v>
      </c>
      <c r="AV22" s="37">
        <f>IF($C22="","",VLOOKUP($C22,CTBat!$G$10:$BR$203,AV$4,FALSE))</f>
        <v>6</v>
      </c>
      <c r="AW22" s="37">
        <f>IF($C22="","",VLOOKUP($C22,CTBat!$G$10:$BR$203,AW$4,FALSE))</f>
        <v>5</v>
      </c>
      <c r="AX22" s="37">
        <f>IF($C22="","",VLOOKUP($C22,CTBat!$G$10:$BR$203,AX$4,FALSE))</f>
        <v>6</v>
      </c>
      <c r="AY22" s="38">
        <f>IF($C22="","",VLOOKUP($C22,CTBat!$G$10:$BR$203,AY$4,FALSE))</f>
        <v>4</v>
      </c>
      <c r="AZ22" s="67">
        <f t="shared" si="43"/>
        <v>5.25</v>
      </c>
    </row>
    <row r="23" spans="1:52">
      <c r="A23">
        <v>4</v>
      </c>
      <c r="B23" s="36" t="s">
        <v>101</v>
      </c>
      <c r="C23" s="37"/>
      <c r="D23" s="37" t="str">
        <f>IF($C23="","",VLOOKUP($C23,CTBat!$G$10:$BR$203,D$4,FALSE))</f>
        <v/>
      </c>
      <c r="E23" s="37" t="str">
        <f>IF($C23="","",VLOOKUP($C23,CTBat!$G$10:$BR$203,E$4,FALSE))</f>
        <v/>
      </c>
      <c r="F23" s="53" t="str">
        <f t="shared" si="44"/>
        <v/>
      </c>
      <c r="G23" s="275" t="str">
        <f t="shared" si="25"/>
        <v/>
      </c>
      <c r="H23" s="275" t="str">
        <f t="shared" si="48"/>
        <v/>
      </c>
      <c r="I23" s="276" t="str">
        <f t="shared" si="45"/>
        <v/>
      </c>
      <c r="J23" s="37" t="str">
        <f>IF($C23="","",VLOOKUP($C23,CTBat!$G$10:$BR$203,J$4,FALSE))</f>
        <v/>
      </c>
      <c r="K23" s="37" t="str">
        <f>IF($C23="","",VLOOKUP($C23,CTBat!$G$10:$BR$203,K$4,FALSE))</f>
        <v/>
      </c>
      <c r="L23" s="37" t="str">
        <f>IF($C23="","",VLOOKUP($C23,CTBat!$G$10:$BR$203,L$4,FALSE))</f>
        <v/>
      </c>
      <c r="M23" s="58" t="str">
        <f>IF($C23="","",VLOOKUP($C23,CTBat!$G$10:$BR$203,M$4,FALSE))</f>
        <v/>
      </c>
      <c r="N23" s="37" t="str">
        <f>IF($C23="","",VLOOKUP($C23,CTBat!$G$10:$BR$203,N$4,FALSE))</f>
        <v/>
      </c>
      <c r="O23" s="37" t="str">
        <f>IF($C23="","",VLOOKUP($C23,CTBat!$G$10:$BR$203,O$4,FALSE))</f>
        <v/>
      </c>
      <c r="P23" s="37" t="str">
        <f>IF($C23="","",VLOOKUP($C23,CTBat!$G$10:$BR$203,P$4,FALSE))</f>
        <v/>
      </c>
      <c r="Q23" s="37" t="str">
        <f>IF($C23="","",VLOOKUP($C23,CTBat!$G$10:$BR$203,Q$4,FALSE))</f>
        <v/>
      </c>
      <c r="R23" s="37" t="str">
        <f>IF($C23="","",VLOOKUP($C23,CTBat!$G$10:$BR$203,R$4,FALSE))</f>
        <v/>
      </c>
      <c r="S23" s="37" t="str">
        <f>IF($C23="","",VLOOKUP($C23,CTBat!$G$10:$BR$203,S$4,FALSE))</f>
        <v/>
      </c>
      <c r="T23" s="38" t="str">
        <f>IF($C23="","",VLOOKUP($C23,CTBat!$G$10:$BR$203,T$4,FALSE))</f>
        <v/>
      </c>
      <c r="U23" s="275" t="str">
        <f t="shared" ref="U23:U27" si="49">IF($C23="","",IF(OR(AD23+AG23&gt;14,AND(OR(AD23+AG23&gt;12,AND(AD23&gt;6,AG23&gt;6)),AI23&gt;6,OR(AJ23&gt;=AI23,AJ23&gt;6))),1,0))</f>
        <v/>
      </c>
      <c r="V23" s="275" t="str">
        <f t="shared" si="27"/>
        <v/>
      </c>
      <c r="W23" s="275" t="str">
        <f t="shared" si="46"/>
        <v/>
      </c>
      <c r="X23" s="275" t="str">
        <f t="shared" si="28"/>
        <v/>
      </c>
      <c r="Y23" s="275" t="str">
        <f t="shared" si="29"/>
        <v/>
      </c>
      <c r="Z23" s="275" t="str">
        <f t="shared" si="30"/>
        <v/>
      </c>
      <c r="AA23" s="275" t="str">
        <f t="shared" si="31"/>
        <v/>
      </c>
      <c r="AB23" s="275" t="str">
        <f t="shared" si="32"/>
        <v/>
      </c>
      <c r="AC23" s="275" t="str">
        <f t="shared" si="33"/>
        <v/>
      </c>
      <c r="AD23" s="58" t="str">
        <f>IF($C23="","",VLOOKUP($C23,CTBat!$G$10:$BR$203,AD$4,FALSE))</f>
        <v/>
      </c>
      <c r="AE23" s="37" t="str">
        <f>IF($C23="","",VLOOKUP($C23,CTBat!$G$10:$BR$203,AE$4,FALSE))</f>
        <v/>
      </c>
      <c r="AF23" s="37" t="str">
        <f>IF($C23="","",VLOOKUP($C23,CTBat!$G$10:$BR$203,AF$4,FALSE))</f>
        <v/>
      </c>
      <c r="AG23" s="37" t="str">
        <f>IF($C23="","",VLOOKUP($C23,CTBat!$G$10:$BR$203,AG$4,FALSE))</f>
        <v/>
      </c>
      <c r="AH23" s="37" t="str">
        <f>IF($C23="","",VLOOKUP($C23,CTBat!$G$10:$BR$203,AH$4,FALSE))</f>
        <v/>
      </c>
      <c r="AI23" s="37" t="str">
        <f>IF($C23="","",VLOOKUP($C23,CTBat!$G$10:$BR$203,AI$4,FALSE))</f>
        <v/>
      </c>
      <c r="AJ23" s="38" t="str">
        <f>IF($C23="","",VLOOKUP($C23,CTBat!$G$10:$BR$203,AJ$4,FALSE))</f>
        <v/>
      </c>
      <c r="AK23" s="67" t="str">
        <f t="shared" si="47"/>
        <v/>
      </c>
      <c r="AL23" s="275" t="str">
        <f t="shared" si="34"/>
        <v/>
      </c>
      <c r="AM23" s="275" t="str">
        <f t="shared" si="35"/>
        <v/>
      </c>
      <c r="AN23" s="275" t="str">
        <f t="shared" si="36"/>
        <v/>
      </c>
      <c r="AO23" s="275" t="str">
        <f t="shared" si="37"/>
        <v/>
      </c>
      <c r="AP23" s="275" t="str">
        <f t="shared" si="38"/>
        <v/>
      </c>
      <c r="AQ23" s="275" t="str">
        <f t="shared" si="39"/>
        <v/>
      </c>
      <c r="AR23" s="275" t="str">
        <f t="shared" si="40"/>
        <v/>
      </c>
      <c r="AS23" s="275" t="str">
        <f t="shared" si="41"/>
        <v/>
      </c>
      <c r="AT23" s="275" t="str">
        <f t="shared" si="42"/>
        <v/>
      </c>
      <c r="AU23" s="58" t="str">
        <f>IF($C23="","",VLOOKUP($C23,CTBat!$G$10:$BR$203,AU$4,FALSE))</f>
        <v/>
      </c>
      <c r="AV23" s="37" t="str">
        <f>IF($C23="","",VLOOKUP($C23,CTBat!$G$10:$BR$203,AV$4,FALSE))</f>
        <v/>
      </c>
      <c r="AW23" s="37" t="str">
        <f>IF($C23="","",VLOOKUP($C23,CTBat!$G$10:$BR$203,AW$4,FALSE))</f>
        <v/>
      </c>
      <c r="AX23" s="37" t="str">
        <f>IF($C23="","",VLOOKUP($C23,CTBat!$G$10:$BR$203,AX$4,FALSE))</f>
        <v/>
      </c>
      <c r="AY23" s="38" t="str">
        <f>IF($C23="","",VLOOKUP($C23,CTBat!$G$10:$BR$203,AY$4,FALSE))</f>
        <v/>
      </c>
      <c r="AZ23" s="67" t="str">
        <f t="shared" si="43"/>
        <v/>
      </c>
    </row>
    <row r="24" spans="1:52">
      <c r="A24">
        <v>5</v>
      </c>
      <c r="B24" s="36" t="s">
        <v>101</v>
      </c>
      <c r="C24" s="65"/>
      <c r="D24" s="37" t="str">
        <f>IF($C24="","",VLOOKUP($C24,CTBat!$G$10:$BR$203,D$4,FALSE))</f>
        <v/>
      </c>
      <c r="E24" s="37" t="str">
        <f>IF($C24="","",VLOOKUP($C24,CTBat!$G$10:$BR$203,E$4,FALSE))</f>
        <v/>
      </c>
      <c r="F24" s="53" t="str">
        <f t="shared" si="44"/>
        <v/>
      </c>
      <c r="G24" s="275" t="str">
        <f t="shared" si="25"/>
        <v/>
      </c>
      <c r="H24" s="275" t="str">
        <f t="shared" si="48"/>
        <v/>
      </c>
      <c r="I24" s="276" t="str">
        <f t="shared" si="45"/>
        <v/>
      </c>
      <c r="J24" s="37" t="str">
        <f>IF($C24="","",VLOOKUP($C24,CTBat!$G$10:$BR$203,J$4,FALSE))</f>
        <v/>
      </c>
      <c r="K24" s="37" t="str">
        <f>IF($C24="","",VLOOKUP($C24,CTBat!$G$10:$BR$203,K$4,FALSE))</f>
        <v/>
      </c>
      <c r="L24" s="37" t="str">
        <f>IF($C24="","",VLOOKUP($C24,CTBat!$G$10:$BR$203,L$4,FALSE))</f>
        <v/>
      </c>
      <c r="M24" s="58" t="str">
        <f>IF($C24="","",VLOOKUP($C24,CTBat!$G$10:$BR$203,M$4,FALSE))</f>
        <v/>
      </c>
      <c r="N24" s="37" t="str">
        <f>IF($C24="","",VLOOKUP($C24,CTBat!$G$10:$BR$203,N$4,FALSE))</f>
        <v/>
      </c>
      <c r="O24" s="37" t="str">
        <f>IF($C24="","",VLOOKUP($C24,CTBat!$G$10:$BR$203,O$4,FALSE))</f>
        <v/>
      </c>
      <c r="P24" s="37" t="str">
        <f>IF($C24="","",VLOOKUP($C24,CTBat!$G$10:$BR$203,P$4,FALSE))</f>
        <v/>
      </c>
      <c r="Q24" s="37" t="str">
        <f>IF($C24="","",VLOOKUP($C24,CTBat!$G$10:$BR$203,Q$4,FALSE))</f>
        <v/>
      </c>
      <c r="R24" s="37" t="str">
        <f>IF($C24="","",VLOOKUP($C24,CTBat!$G$10:$BR$203,R$4,FALSE))</f>
        <v/>
      </c>
      <c r="S24" s="37" t="str">
        <f>IF($C24="","",VLOOKUP($C24,CTBat!$G$10:$BR$203,S$4,FALSE))</f>
        <v/>
      </c>
      <c r="T24" s="38" t="str">
        <f>IF($C24="","",VLOOKUP($C24,CTBat!$G$10:$BR$203,T$4,FALSE))</f>
        <v/>
      </c>
      <c r="U24" s="275" t="str">
        <f t="shared" si="49"/>
        <v/>
      </c>
      <c r="V24" s="275" t="str">
        <f t="shared" si="27"/>
        <v/>
      </c>
      <c r="W24" s="275" t="str">
        <f t="shared" si="46"/>
        <v/>
      </c>
      <c r="X24" s="275" t="str">
        <f t="shared" si="28"/>
        <v/>
      </c>
      <c r="Y24" s="275" t="str">
        <f t="shared" si="29"/>
        <v/>
      </c>
      <c r="Z24" s="275" t="str">
        <f t="shared" si="30"/>
        <v/>
      </c>
      <c r="AA24" s="275" t="str">
        <f t="shared" si="31"/>
        <v/>
      </c>
      <c r="AB24" s="275" t="str">
        <f t="shared" si="32"/>
        <v/>
      </c>
      <c r="AC24" s="275" t="str">
        <f t="shared" si="33"/>
        <v/>
      </c>
      <c r="AD24" s="58" t="str">
        <f>IF($C24="","",VLOOKUP($C24,CTBat!$G$10:$BR$203,AD$4,FALSE))</f>
        <v/>
      </c>
      <c r="AE24" s="37" t="str">
        <f>IF($C24="","",VLOOKUP($C24,CTBat!$G$10:$BR$203,AE$4,FALSE))</f>
        <v/>
      </c>
      <c r="AF24" s="37" t="str">
        <f>IF($C24="","",VLOOKUP($C24,CTBat!$G$10:$BR$203,AF$4,FALSE))</f>
        <v/>
      </c>
      <c r="AG24" s="37" t="str">
        <f>IF($C24="","",VLOOKUP($C24,CTBat!$G$10:$BR$203,AG$4,FALSE))</f>
        <v/>
      </c>
      <c r="AH24" s="37" t="str">
        <f>IF($C24="","",VLOOKUP($C24,CTBat!$G$10:$BR$203,AH$4,FALSE))</f>
        <v/>
      </c>
      <c r="AI24" s="37" t="str">
        <f>IF($C24="","",VLOOKUP($C24,CTBat!$G$10:$BR$203,AI$4,FALSE))</f>
        <v/>
      </c>
      <c r="AJ24" s="38" t="str">
        <f>IF($C24="","",VLOOKUP($C24,CTBat!$G$10:$BR$203,AJ$4,FALSE))</f>
        <v/>
      </c>
      <c r="AK24" s="67" t="str">
        <f t="shared" si="47"/>
        <v/>
      </c>
      <c r="AL24" s="275" t="str">
        <f t="shared" si="34"/>
        <v/>
      </c>
      <c r="AM24" s="275" t="str">
        <f t="shared" si="35"/>
        <v/>
      </c>
      <c r="AN24" s="275" t="str">
        <f t="shared" si="36"/>
        <v/>
      </c>
      <c r="AO24" s="275" t="str">
        <f t="shared" si="37"/>
        <v/>
      </c>
      <c r="AP24" s="275" t="str">
        <f t="shared" si="38"/>
        <v/>
      </c>
      <c r="AQ24" s="275" t="str">
        <f t="shared" si="39"/>
        <v/>
      </c>
      <c r="AR24" s="275" t="str">
        <f t="shared" si="40"/>
        <v/>
      </c>
      <c r="AS24" s="275" t="str">
        <f t="shared" si="41"/>
        <v/>
      </c>
      <c r="AT24" s="275" t="str">
        <f t="shared" si="42"/>
        <v/>
      </c>
      <c r="AU24" s="58" t="str">
        <f>IF($C24="","",VLOOKUP($C24,CTBat!$G$10:$BR$203,AU$4,FALSE))</f>
        <v/>
      </c>
      <c r="AV24" s="37" t="str">
        <f>IF($C24="","",VLOOKUP($C24,CTBat!$G$10:$BR$203,AV$4,FALSE))</f>
        <v/>
      </c>
      <c r="AW24" s="37" t="str">
        <f>IF($C24="","",VLOOKUP($C24,CTBat!$G$10:$BR$203,AW$4,FALSE))</f>
        <v/>
      </c>
      <c r="AX24" s="37" t="str">
        <f>IF($C24="","",VLOOKUP($C24,CTBat!$G$10:$BR$203,AX$4,FALSE))</f>
        <v/>
      </c>
      <c r="AY24" s="38" t="str">
        <f>IF($C24="","",VLOOKUP($C24,CTBat!$G$10:$BR$203,AY$4,FALSE))</f>
        <v/>
      </c>
      <c r="AZ24" s="67" t="str">
        <f t="shared" si="43"/>
        <v/>
      </c>
    </row>
    <row r="25" spans="1:52">
      <c r="A25">
        <v>6</v>
      </c>
      <c r="B25" s="36" t="s">
        <v>101</v>
      </c>
      <c r="C25" s="65"/>
      <c r="D25" s="37" t="str">
        <f>IF($C25="","",VLOOKUP($C25,CTBat!$G$10:$BR$203,D$4,FALSE))</f>
        <v/>
      </c>
      <c r="E25" s="37" t="str">
        <f>IF($C25="","",VLOOKUP($C25,CTBat!$G$10:$BR$203,E$4,FALSE))</f>
        <v/>
      </c>
      <c r="F25" s="53" t="str">
        <f t="shared" si="44"/>
        <v/>
      </c>
      <c r="G25" s="275" t="str">
        <f t="shared" si="25"/>
        <v/>
      </c>
      <c r="H25" s="275" t="str">
        <f t="shared" si="48"/>
        <v/>
      </c>
      <c r="I25" s="276" t="str">
        <f t="shared" si="45"/>
        <v/>
      </c>
      <c r="J25" s="37" t="str">
        <f>IF($C25="","",VLOOKUP($C25,CTBat!$G$10:$BR$203,J$4,FALSE))</f>
        <v/>
      </c>
      <c r="K25" s="37" t="str">
        <f>IF($C25="","",VLOOKUP($C25,CTBat!$G$10:$BR$203,K$4,FALSE))</f>
        <v/>
      </c>
      <c r="L25" s="37" t="str">
        <f>IF($C25="","",VLOOKUP($C25,CTBat!$G$10:$BR$203,L$4,FALSE))</f>
        <v/>
      </c>
      <c r="M25" s="58" t="str">
        <f>IF($C25="","",VLOOKUP($C25,CTBat!$G$10:$BR$203,M$4,FALSE))</f>
        <v/>
      </c>
      <c r="N25" s="37" t="str">
        <f>IF($C25="","",VLOOKUP($C25,CTBat!$G$10:$BR$203,N$4,FALSE))</f>
        <v/>
      </c>
      <c r="O25" s="37" t="str">
        <f>IF($C25="","",VLOOKUP($C25,CTBat!$G$10:$BR$203,O$4,FALSE))</f>
        <v/>
      </c>
      <c r="P25" s="37" t="str">
        <f>IF($C25="","",VLOOKUP($C25,CTBat!$G$10:$BR$203,P$4,FALSE))</f>
        <v/>
      </c>
      <c r="Q25" s="37" t="str">
        <f>IF($C25="","",VLOOKUP($C25,CTBat!$G$10:$BR$203,Q$4,FALSE))</f>
        <v/>
      </c>
      <c r="R25" s="37" t="str">
        <f>IF($C25="","",VLOOKUP($C25,CTBat!$G$10:$BR$203,R$4,FALSE))</f>
        <v/>
      </c>
      <c r="S25" s="37" t="str">
        <f>IF($C25="","",VLOOKUP($C25,CTBat!$G$10:$BR$203,S$4,FALSE))</f>
        <v/>
      </c>
      <c r="T25" s="38" t="str">
        <f>IF($C25="","",VLOOKUP($C25,CTBat!$G$10:$BR$203,T$4,FALSE))</f>
        <v/>
      </c>
      <c r="U25" s="275" t="str">
        <f t="shared" si="49"/>
        <v/>
      </c>
      <c r="V25" s="275" t="str">
        <f t="shared" si="27"/>
        <v/>
      </c>
      <c r="W25" s="275" t="str">
        <f t="shared" si="46"/>
        <v/>
      </c>
      <c r="X25" s="275" t="str">
        <f t="shared" si="28"/>
        <v/>
      </c>
      <c r="Y25" s="275" t="str">
        <f t="shared" si="29"/>
        <v/>
      </c>
      <c r="Z25" s="275" t="str">
        <f t="shared" si="30"/>
        <v/>
      </c>
      <c r="AA25" s="275" t="str">
        <f t="shared" si="31"/>
        <v/>
      </c>
      <c r="AB25" s="275" t="str">
        <f t="shared" si="32"/>
        <v/>
      </c>
      <c r="AC25" s="275" t="str">
        <f t="shared" si="33"/>
        <v/>
      </c>
      <c r="AD25" s="58" t="str">
        <f>IF($C25="","",VLOOKUP($C25,CTBat!$G$10:$BR$203,AD$4,FALSE))</f>
        <v/>
      </c>
      <c r="AE25" s="37" t="str">
        <f>IF($C25="","",VLOOKUP($C25,CTBat!$G$10:$BR$203,AE$4,FALSE))</f>
        <v/>
      </c>
      <c r="AF25" s="37" t="str">
        <f>IF($C25="","",VLOOKUP($C25,CTBat!$G$10:$BR$203,AF$4,FALSE))</f>
        <v/>
      </c>
      <c r="AG25" s="37" t="str">
        <f>IF($C25="","",VLOOKUP($C25,CTBat!$G$10:$BR$203,AG$4,FALSE))</f>
        <v/>
      </c>
      <c r="AH25" s="37" t="str">
        <f>IF($C25="","",VLOOKUP($C25,CTBat!$G$10:$BR$203,AH$4,FALSE))</f>
        <v/>
      </c>
      <c r="AI25" s="37" t="str">
        <f>IF($C25="","",VLOOKUP($C25,CTBat!$G$10:$BR$203,AI$4,FALSE))</f>
        <v/>
      </c>
      <c r="AJ25" s="38" t="str">
        <f>IF($C25="","",VLOOKUP($C25,CTBat!$G$10:$BR$203,AJ$4,FALSE))</f>
        <v/>
      </c>
      <c r="AK25" s="67" t="str">
        <f t="shared" si="47"/>
        <v/>
      </c>
      <c r="AL25" s="275" t="str">
        <f t="shared" si="34"/>
        <v/>
      </c>
      <c r="AM25" s="275" t="str">
        <f t="shared" si="35"/>
        <v/>
      </c>
      <c r="AN25" s="275" t="str">
        <f t="shared" si="36"/>
        <v/>
      </c>
      <c r="AO25" s="275" t="str">
        <f t="shared" si="37"/>
        <v/>
      </c>
      <c r="AP25" s="275" t="str">
        <f t="shared" si="38"/>
        <v/>
      </c>
      <c r="AQ25" s="275" t="str">
        <f t="shared" si="39"/>
        <v/>
      </c>
      <c r="AR25" s="275" t="str">
        <f t="shared" si="40"/>
        <v/>
      </c>
      <c r="AS25" s="275" t="str">
        <f t="shared" si="41"/>
        <v/>
      </c>
      <c r="AT25" s="275" t="str">
        <f t="shared" si="42"/>
        <v/>
      </c>
      <c r="AU25" s="58" t="str">
        <f>IF($C25="","",VLOOKUP($C25,CTBat!$G$10:$BR$203,AU$4,FALSE))</f>
        <v/>
      </c>
      <c r="AV25" s="37" t="str">
        <f>IF($C25="","",VLOOKUP($C25,CTBat!$G$10:$BR$203,AV$4,FALSE))</f>
        <v/>
      </c>
      <c r="AW25" s="37" t="str">
        <f>IF($C25="","",VLOOKUP($C25,CTBat!$G$10:$BR$203,AW$4,FALSE))</f>
        <v/>
      </c>
      <c r="AX25" s="37" t="str">
        <f>IF($C25="","",VLOOKUP($C25,CTBat!$G$10:$BR$203,AX$4,FALSE))</f>
        <v/>
      </c>
      <c r="AY25" s="38" t="str">
        <f>IF($C25="","",VLOOKUP($C25,CTBat!$G$10:$BR$203,AY$4,FALSE))</f>
        <v/>
      </c>
      <c r="AZ25" s="67" t="str">
        <f t="shared" si="43"/>
        <v/>
      </c>
    </row>
    <row r="26" spans="1:52">
      <c r="A26">
        <v>7</v>
      </c>
      <c r="B26" s="36" t="s">
        <v>101</v>
      </c>
      <c r="C26" s="65"/>
      <c r="D26" s="37" t="str">
        <f>IF($C26="","",VLOOKUP($C26,CTBat!$G$10:$BR$203,D$4,FALSE))</f>
        <v/>
      </c>
      <c r="E26" s="37" t="str">
        <f>IF($C26="","",VLOOKUP($C26,CTBat!$G$10:$BR$203,E$4,FALSE))</f>
        <v/>
      </c>
      <c r="F26" s="53" t="str">
        <f t="shared" si="44"/>
        <v/>
      </c>
      <c r="G26" s="275" t="str">
        <f t="shared" si="25"/>
        <v/>
      </c>
      <c r="H26" s="275" t="str">
        <f t="shared" si="48"/>
        <v/>
      </c>
      <c r="I26" s="276" t="str">
        <f t="shared" si="45"/>
        <v/>
      </c>
      <c r="J26" s="37" t="str">
        <f>IF($C26="","",VLOOKUP($C26,CTBat!$G$10:$BR$203,J$4,FALSE))</f>
        <v/>
      </c>
      <c r="K26" s="37" t="str">
        <f>IF($C26="","",VLOOKUP($C26,CTBat!$G$10:$BR$203,K$4,FALSE))</f>
        <v/>
      </c>
      <c r="L26" s="37" t="str">
        <f>IF($C26="","",VLOOKUP($C26,CTBat!$G$10:$BR$203,L$4,FALSE))</f>
        <v/>
      </c>
      <c r="M26" s="58" t="str">
        <f>IF($C26="","",VLOOKUP($C26,CTBat!$G$10:$BR$203,M$4,FALSE))</f>
        <v/>
      </c>
      <c r="N26" s="37" t="str">
        <f>IF($C26="","",VLOOKUP($C26,CTBat!$G$10:$BR$203,N$4,FALSE))</f>
        <v/>
      </c>
      <c r="O26" s="37" t="str">
        <f>IF($C26="","",VLOOKUP($C26,CTBat!$G$10:$BR$203,O$4,FALSE))</f>
        <v/>
      </c>
      <c r="P26" s="37" t="str">
        <f>IF($C26="","",VLOOKUP($C26,CTBat!$G$10:$BR$203,P$4,FALSE))</f>
        <v/>
      </c>
      <c r="Q26" s="37" t="str">
        <f>IF($C26="","",VLOOKUP($C26,CTBat!$G$10:$BR$203,Q$4,FALSE))</f>
        <v/>
      </c>
      <c r="R26" s="37" t="str">
        <f>IF($C26="","",VLOOKUP($C26,CTBat!$G$10:$BR$203,R$4,FALSE))</f>
        <v/>
      </c>
      <c r="S26" s="37" t="str">
        <f>IF($C26="","",VLOOKUP($C26,CTBat!$G$10:$BR$203,S$4,FALSE))</f>
        <v/>
      </c>
      <c r="T26" s="38" t="str">
        <f>IF($C26="","",VLOOKUP($C26,CTBat!$G$10:$BR$203,T$4,FALSE))</f>
        <v/>
      </c>
      <c r="U26" s="275" t="str">
        <f t="shared" si="49"/>
        <v/>
      </c>
      <c r="V26" s="275" t="str">
        <f t="shared" si="27"/>
        <v/>
      </c>
      <c r="W26" s="275" t="str">
        <f t="shared" si="46"/>
        <v/>
      </c>
      <c r="X26" s="275" t="str">
        <f t="shared" si="28"/>
        <v/>
      </c>
      <c r="Y26" s="275" t="str">
        <f t="shared" si="29"/>
        <v/>
      </c>
      <c r="Z26" s="275" t="str">
        <f t="shared" si="30"/>
        <v/>
      </c>
      <c r="AA26" s="275" t="str">
        <f t="shared" si="31"/>
        <v/>
      </c>
      <c r="AB26" s="275" t="str">
        <f t="shared" si="32"/>
        <v/>
      </c>
      <c r="AC26" s="275" t="str">
        <f t="shared" si="33"/>
        <v/>
      </c>
      <c r="AD26" s="58" t="str">
        <f>IF($C26="","",VLOOKUP($C26,CTBat!$G$10:$BR$203,AD$4,FALSE))</f>
        <v/>
      </c>
      <c r="AE26" s="37" t="str">
        <f>IF($C26="","",VLOOKUP($C26,CTBat!$G$10:$BR$203,AE$4,FALSE))</f>
        <v/>
      </c>
      <c r="AF26" s="37" t="str">
        <f>IF($C26="","",VLOOKUP($C26,CTBat!$G$10:$BR$203,AF$4,FALSE))</f>
        <v/>
      </c>
      <c r="AG26" s="37" t="str">
        <f>IF($C26="","",VLOOKUP($C26,CTBat!$G$10:$BR$203,AG$4,FALSE))</f>
        <v/>
      </c>
      <c r="AH26" s="37" t="str">
        <f>IF($C26="","",VLOOKUP($C26,CTBat!$G$10:$BR$203,AH$4,FALSE))</f>
        <v/>
      </c>
      <c r="AI26" s="37" t="str">
        <f>IF($C26="","",VLOOKUP($C26,CTBat!$G$10:$BR$203,AI$4,FALSE))</f>
        <v/>
      </c>
      <c r="AJ26" s="38" t="str">
        <f>IF($C26="","",VLOOKUP($C26,CTBat!$G$10:$BR$203,AJ$4,FALSE))</f>
        <v/>
      </c>
      <c r="AK26" s="67" t="str">
        <f t="shared" si="47"/>
        <v/>
      </c>
      <c r="AL26" s="275" t="str">
        <f t="shared" si="34"/>
        <v/>
      </c>
      <c r="AM26" s="275" t="str">
        <f t="shared" si="35"/>
        <v/>
      </c>
      <c r="AN26" s="275" t="str">
        <f t="shared" si="36"/>
        <v/>
      </c>
      <c r="AO26" s="275" t="str">
        <f t="shared" si="37"/>
        <v/>
      </c>
      <c r="AP26" s="275" t="str">
        <f t="shared" si="38"/>
        <v/>
      </c>
      <c r="AQ26" s="275" t="str">
        <f t="shared" si="39"/>
        <v/>
      </c>
      <c r="AR26" s="275" t="str">
        <f t="shared" si="40"/>
        <v/>
      </c>
      <c r="AS26" s="275" t="str">
        <f t="shared" si="41"/>
        <v/>
      </c>
      <c r="AT26" s="275" t="str">
        <f t="shared" si="42"/>
        <v/>
      </c>
      <c r="AU26" s="58" t="str">
        <f>IF($C26="","",VLOOKUP($C26,CTBat!$G$10:$BR$203,AU$4,FALSE))</f>
        <v/>
      </c>
      <c r="AV26" s="37" t="str">
        <f>IF($C26="","",VLOOKUP($C26,CTBat!$G$10:$BR$203,AV$4,FALSE))</f>
        <v/>
      </c>
      <c r="AW26" s="37" t="str">
        <f>IF($C26="","",VLOOKUP($C26,CTBat!$G$10:$BR$203,AW$4,FALSE))</f>
        <v/>
      </c>
      <c r="AX26" s="37" t="str">
        <f>IF($C26="","",VLOOKUP($C26,CTBat!$G$10:$BR$203,AX$4,FALSE))</f>
        <v/>
      </c>
      <c r="AY26" s="38" t="str">
        <f>IF($C26="","",VLOOKUP($C26,CTBat!$G$10:$BR$203,AY$4,FALSE))</f>
        <v/>
      </c>
      <c r="AZ26" s="67" t="str">
        <f t="shared" si="43"/>
        <v/>
      </c>
    </row>
    <row r="27" spans="1:52">
      <c r="A27">
        <v>8</v>
      </c>
      <c r="B27" s="39" t="s">
        <v>101</v>
      </c>
      <c r="C27" s="40"/>
      <c r="D27" s="40" t="str">
        <f>IF($C27="","",VLOOKUP($C27,CTBat!$G$10:$BR$203,D$4,FALSE))</f>
        <v/>
      </c>
      <c r="E27" s="40" t="str">
        <f>IF($C27="","",VLOOKUP($C27,CTBat!$G$10:$BR$203,E$4,FALSE))</f>
        <v/>
      </c>
      <c r="F27" s="54" t="str">
        <f t="shared" si="44"/>
        <v/>
      </c>
      <c r="G27" s="273" t="str">
        <f>IF($C27="","",IF(Q27&lt;&gt;"-",1,0))</f>
        <v/>
      </c>
      <c r="H27" s="273" t="str">
        <f t="shared" si="48"/>
        <v/>
      </c>
      <c r="I27" s="274" t="str">
        <f t="shared" si="45"/>
        <v/>
      </c>
      <c r="J27" s="40" t="str">
        <f>IF($C27="","",VLOOKUP($C27,CTBat!$G$10:$BR$203,J$4,FALSE))</f>
        <v/>
      </c>
      <c r="K27" s="40" t="str">
        <f>IF($C27="","",VLOOKUP($C27,CTBat!$G$10:$BR$203,K$4,FALSE))</f>
        <v/>
      </c>
      <c r="L27" s="40" t="str">
        <f>IF($C27="","",VLOOKUP($C27,CTBat!$G$10:$BR$203,L$4,FALSE))</f>
        <v/>
      </c>
      <c r="M27" s="59" t="str">
        <f>IF($C27="","",VLOOKUP($C27,CTBat!$G$10:$BR$203,M$4,FALSE))</f>
        <v/>
      </c>
      <c r="N27" s="40" t="str">
        <f>IF($C27="","",VLOOKUP($C27,CTBat!$G$10:$BR$203,N$4,FALSE))</f>
        <v/>
      </c>
      <c r="O27" s="40" t="str">
        <f>IF($C27="","",VLOOKUP($C27,CTBat!$G$10:$BR$203,O$4,FALSE))</f>
        <v/>
      </c>
      <c r="P27" s="40" t="str">
        <f>IF($C27="","",VLOOKUP($C27,CTBat!$G$10:$BR$203,P$4,FALSE))</f>
        <v/>
      </c>
      <c r="Q27" s="40" t="str">
        <f>IF($C27="","",VLOOKUP($C27,CTBat!$G$10:$BR$203,Q$4,FALSE))</f>
        <v/>
      </c>
      <c r="R27" s="40" t="str">
        <f>IF($C27="","",VLOOKUP($C27,CTBat!$G$10:$BR$203,R$4,FALSE))</f>
        <v/>
      </c>
      <c r="S27" s="40" t="str">
        <f>IF($C27="","",VLOOKUP($C27,CTBat!$G$10:$BR$203,S$4,FALSE))</f>
        <v/>
      </c>
      <c r="T27" s="42" t="str">
        <f>IF($C27="","",VLOOKUP($C27,CTBat!$G$10:$BR$203,T$4,FALSE))</f>
        <v/>
      </c>
      <c r="U27" s="273" t="str">
        <f t="shared" si="49"/>
        <v/>
      </c>
      <c r="V27" s="273" t="str">
        <f t="shared" si="27"/>
        <v/>
      </c>
      <c r="W27" s="273" t="str">
        <f t="shared" si="46"/>
        <v/>
      </c>
      <c r="X27" s="273" t="str">
        <f t="shared" si="28"/>
        <v/>
      </c>
      <c r="Y27" s="273" t="str">
        <f t="shared" si="29"/>
        <v/>
      </c>
      <c r="Z27" s="273" t="str">
        <f t="shared" si="30"/>
        <v/>
      </c>
      <c r="AA27" s="273" t="str">
        <f t="shared" si="31"/>
        <v/>
      </c>
      <c r="AB27" s="273" t="str">
        <f t="shared" si="32"/>
        <v/>
      </c>
      <c r="AC27" s="273" t="str">
        <f t="shared" si="33"/>
        <v/>
      </c>
      <c r="AD27" s="59" t="str">
        <f>IF($C27="","",VLOOKUP($C27,CTBat!$G$10:$BR$203,AD$4,FALSE))</f>
        <v/>
      </c>
      <c r="AE27" s="40" t="str">
        <f>IF($C27="","",VLOOKUP($C27,CTBat!$G$10:$BR$203,AE$4,FALSE))</f>
        <v/>
      </c>
      <c r="AF27" s="40" t="str">
        <f>IF($C27="","",VLOOKUP($C27,CTBat!$G$10:$BR$203,AF$4,FALSE))</f>
        <v/>
      </c>
      <c r="AG27" s="40" t="str">
        <f>IF($C27="","",VLOOKUP($C27,CTBat!$G$10:$BR$203,AG$4,FALSE))</f>
        <v/>
      </c>
      <c r="AH27" s="40" t="str">
        <f>IF($C27="","",VLOOKUP($C27,CTBat!$G$10:$BR$203,AH$4,FALSE))</f>
        <v/>
      </c>
      <c r="AI27" s="40" t="str">
        <f>IF($C27="","",VLOOKUP($C27,CTBat!$G$10:$BR$203,AI$4,FALSE))</f>
        <v/>
      </c>
      <c r="AJ27" s="42" t="str">
        <f>IF($C27="","",VLOOKUP($C27,CTBat!$G$10:$BR$203,AJ$4,FALSE))</f>
        <v/>
      </c>
      <c r="AK27" s="68" t="str">
        <f t="shared" si="47"/>
        <v/>
      </c>
      <c r="AL27" s="273" t="str">
        <f t="shared" si="34"/>
        <v/>
      </c>
      <c r="AM27" s="273" t="str">
        <f t="shared" si="35"/>
        <v/>
      </c>
      <c r="AN27" s="273" t="str">
        <f t="shared" si="36"/>
        <v/>
      </c>
      <c r="AO27" s="273" t="str">
        <f t="shared" si="37"/>
        <v/>
      </c>
      <c r="AP27" s="273" t="str">
        <f t="shared" si="38"/>
        <v/>
      </c>
      <c r="AQ27" s="273" t="str">
        <f t="shared" si="39"/>
        <v/>
      </c>
      <c r="AR27" s="273" t="str">
        <f t="shared" si="40"/>
        <v/>
      </c>
      <c r="AS27" s="273" t="str">
        <f t="shared" si="41"/>
        <v/>
      </c>
      <c r="AT27" s="273" t="str">
        <f t="shared" si="42"/>
        <v/>
      </c>
      <c r="AU27" s="59" t="str">
        <f>IF($C27="","",VLOOKUP($C27,CTBat!$G$10:$BR$203,AU$4,FALSE))</f>
        <v/>
      </c>
      <c r="AV27" s="40" t="str">
        <f>IF($C27="","",VLOOKUP($C27,CTBat!$G$10:$BR$203,AV$4,FALSE))</f>
        <v/>
      </c>
      <c r="AW27" s="40" t="str">
        <f>IF($C27="","",VLOOKUP($C27,CTBat!$G$10:$BR$203,AW$4,FALSE))</f>
        <v/>
      </c>
      <c r="AX27" s="40" t="str">
        <f>IF($C27="","",VLOOKUP($C27,CTBat!$G$10:$BR$203,AX$4,FALSE))</f>
        <v/>
      </c>
      <c r="AY27" s="42" t="str">
        <f>IF($C27="","",VLOOKUP($C27,CTBat!$G$10:$BR$203,AY$4,FALSE))</f>
        <v/>
      </c>
      <c r="AZ27" s="68" t="str">
        <f t="shared" si="43"/>
        <v/>
      </c>
    </row>
    <row r="29" spans="1:52" ht="196.5">
      <c r="A29" s="25" t="s">
        <v>193</v>
      </c>
      <c r="B29" s="270" t="s">
        <v>133</v>
      </c>
      <c r="C29" s="44" t="str">
        <f>"Player ("&amp;COUNTA(C30:C33)&amp;")"</f>
        <v>Player (0)</v>
      </c>
      <c r="D29" s="44" t="s">
        <v>91</v>
      </c>
      <c r="E29" s="44" t="s">
        <v>101</v>
      </c>
      <c r="F29" s="64" t="str">
        <f>"Strong C Arm ("&amp;SUM(F30:F33)&amp;")"</f>
        <v>Strong C Arm (0)</v>
      </c>
      <c r="G29" s="48" t="s">
        <v>41</v>
      </c>
      <c r="H29" s="48" t="s">
        <v>41</v>
      </c>
      <c r="I29" s="48" t="s">
        <v>41</v>
      </c>
      <c r="J29" s="55" t="s">
        <v>136</v>
      </c>
      <c r="K29" s="47" t="s">
        <v>134</v>
      </c>
      <c r="L29" s="56" t="s">
        <v>135</v>
      </c>
      <c r="M29" s="48" t="s">
        <v>92</v>
      </c>
      <c r="N29" s="48" t="s">
        <v>94</v>
      </c>
      <c r="O29" s="48" t="s">
        <v>95</v>
      </c>
      <c r="P29" s="48" t="s">
        <v>96</v>
      </c>
      <c r="Q29" s="48" t="s">
        <v>97</v>
      </c>
      <c r="R29" s="48" t="s">
        <v>98</v>
      </c>
      <c r="S29" s="48" t="s">
        <v>99</v>
      </c>
      <c r="T29" s="49" t="s">
        <v>100</v>
      </c>
      <c r="U29" s="45" t="s">
        <v>137</v>
      </c>
      <c r="V29" s="45" t="s">
        <v>181</v>
      </c>
      <c r="W29" s="45" t="s">
        <v>138</v>
      </c>
      <c r="X29" s="45" t="s">
        <v>139</v>
      </c>
      <c r="Y29" s="45" t="s">
        <v>140</v>
      </c>
      <c r="Z29" s="45" t="s">
        <v>141</v>
      </c>
      <c r="AA29" s="45" t="s">
        <v>142</v>
      </c>
      <c r="AB29" s="45" t="s">
        <v>144</v>
      </c>
      <c r="AC29" s="60" t="s">
        <v>143</v>
      </c>
      <c r="AD29" s="48" t="s">
        <v>147</v>
      </c>
      <c r="AE29" s="48" t="s">
        <v>148</v>
      </c>
      <c r="AF29" s="48" t="s">
        <v>149</v>
      </c>
      <c r="AG29" s="48" t="s">
        <v>150</v>
      </c>
      <c r="AH29" s="48" t="s">
        <v>29</v>
      </c>
      <c r="AI29" s="48" t="s">
        <v>151</v>
      </c>
      <c r="AJ29" s="49" t="s">
        <v>152</v>
      </c>
      <c r="AK29" s="66" t="s">
        <v>157</v>
      </c>
      <c r="AL29" s="45" t="s">
        <v>137</v>
      </c>
      <c r="AM29" s="45" t="s">
        <v>181</v>
      </c>
      <c r="AN29" s="45" t="s">
        <v>138</v>
      </c>
      <c r="AO29" s="45" t="s">
        <v>139</v>
      </c>
      <c r="AP29" s="45" t="s">
        <v>140</v>
      </c>
      <c r="AQ29" s="45" t="s">
        <v>141</v>
      </c>
      <c r="AR29" s="45" t="s">
        <v>142</v>
      </c>
      <c r="AS29" s="45" t="s">
        <v>144</v>
      </c>
      <c r="AT29" s="60" t="s">
        <v>143</v>
      </c>
      <c r="AU29" s="63" t="s">
        <v>147</v>
      </c>
      <c r="AV29" s="48" t="s">
        <v>148</v>
      </c>
      <c r="AW29" s="48" t="s">
        <v>149</v>
      </c>
      <c r="AX29" s="48" t="s">
        <v>150</v>
      </c>
      <c r="AY29" s="49" t="s">
        <v>29</v>
      </c>
      <c r="AZ29" s="66" t="s">
        <v>197</v>
      </c>
    </row>
    <row r="30" spans="1:52">
      <c r="A30">
        <v>1</v>
      </c>
      <c r="B30" s="36" t="s">
        <v>92</v>
      </c>
      <c r="C30" s="37"/>
      <c r="D30" s="37" t="str">
        <f>IF($C30="","",VLOOKUP($C30,CTBat!$G$10:$BR$203,D$4,FALSE))</f>
        <v/>
      </c>
      <c r="E30" s="37" t="str">
        <f>IF($C30="","",VLOOKUP($C30,CTBat!$G$10:$BR$203,E$4,FALSE))</f>
        <v/>
      </c>
      <c r="F30" s="53" t="str">
        <f>IF($C30="","",IF(J30&gt;5,1,0))</f>
        <v/>
      </c>
      <c r="G30" s="275" t="str">
        <f t="shared" ref="G30:H33" si="50">IF($C30="","","-")</f>
        <v/>
      </c>
      <c r="H30" s="275" t="str">
        <f t="shared" si="50"/>
        <v/>
      </c>
      <c r="I30" s="275" t="str">
        <f>IF($C30="","","-")</f>
        <v/>
      </c>
      <c r="J30" s="58" t="str">
        <f>IF($C30="","",VLOOKUP($C30,CTBat!$G$10:$BR$203,J$4,FALSE))</f>
        <v/>
      </c>
      <c r="K30" s="37" t="str">
        <f>IF($C30="","",VLOOKUP($C30,CTBat!$G$10:$BR$203,K$4,FALSE))</f>
        <v/>
      </c>
      <c r="L30" s="38" t="str">
        <f>IF($C30="","",VLOOKUP($C30,CTBat!$G$10:$BR$203,L$4,FALSE))</f>
        <v/>
      </c>
      <c r="M30" s="37" t="str">
        <f>IF($C30="","",VLOOKUP($C30,CTBat!$G$10:$BR$203,M$4,FALSE))</f>
        <v/>
      </c>
      <c r="N30" s="37" t="str">
        <f>IF($C30="","",VLOOKUP($C30,CTBat!$G$10:$BR$203,N$4,FALSE))</f>
        <v/>
      </c>
      <c r="O30" s="37" t="str">
        <f>IF($C30="","",VLOOKUP($C30,CTBat!$G$10:$BR$203,O$4,FALSE))</f>
        <v/>
      </c>
      <c r="P30" s="37" t="str">
        <f>IF($C30="","",VLOOKUP($C30,CTBat!$G$10:$BR$203,P$4,FALSE))</f>
        <v/>
      </c>
      <c r="Q30" s="37" t="str">
        <f>IF($C30="","",VLOOKUP($C30,CTBat!$G$10:$BR$203,Q$4,FALSE))</f>
        <v/>
      </c>
      <c r="R30" s="37" t="str">
        <f>IF($C30="","",VLOOKUP($C30,CTBat!$G$10:$BR$203,R$4,FALSE))</f>
        <v/>
      </c>
      <c r="S30" s="37" t="str">
        <f>IF($C30="","",VLOOKUP($C30,CTBat!$G$10:$BR$203,S$4,FALSE))</f>
        <v/>
      </c>
      <c r="T30" s="38" t="str">
        <f>IF($C30="","",VLOOKUP($C30,CTBat!$G$10:$BR$203,T$4,FALSE))</f>
        <v/>
      </c>
      <c r="U30" s="275" t="str">
        <f t="shared" ref="U30:U33" si="51">IF($C30="","",IF(OR(AD30+AG30&gt;14,AND(OR(AD30+AG30&gt;12,AND(AD30&gt;6,AG30&gt;6)),AI30&gt;6,OR(AJ30&gt;=AI30,AJ30&gt;6))),1,0))</f>
        <v/>
      </c>
      <c r="V30" s="275" t="str">
        <f t="shared" ref="V30:V33" si="52">IF($C30="","",IF(OR(AND(AD30&gt;6,AH30&gt;6),AD30+AG30&gt;12),1,0))</f>
        <v/>
      </c>
      <c r="W30" s="275" t="str">
        <f t="shared" ref="W30:W33" si="53">IF($C30="","",IF(AND(AD30&gt;6,AF30&gt;6,AG30&gt;6),1,0))</f>
        <v/>
      </c>
      <c r="X30" s="275" t="str">
        <f t="shared" ref="X30:X33" si="54">IF($C30="","",IF(AND(AF30&gt;7,OR(AD30&gt;6,AG30&gt;6)),1,0))</f>
        <v/>
      </c>
      <c r="Y30" s="275" t="str">
        <f t="shared" ref="Y30:Y33" si="55">IF($C30="","",IF(AND(AF30&gt;6,OR(AD30&gt;6,AG30&gt;6)),1,0))</f>
        <v/>
      </c>
      <c r="Z30" s="275" t="str">
        <f t="shared" ref="Z30:Z33" si="56">IF($C30="","",IF(AND(OR(AD30&gt;6,AF30&gt;6),OR(AD30&gt;6,AG30&gt;6)),1,0))</f>
        <v/>
      </c>
      <c r="AA30" s="275" t="str">
        <f t="shared" ref="AA30:AA33" si="57">IF($C30="","",IF(AND(AD30&gt;4,OR(AD30&gt;6,AF30&gt;6,AG30&gt;6)),1,0))</f>
        <v/>
      </c>
      <c r="AB30" s="275" t="str">
        <f t="shared" ref="AB30:AB33" si="58">IF($C30="","",IF(AND(AD30&gt;4,OR(AD30&gt;6,AE30&gt;6,AF30&gt;6,AG30&gt;6)),1,0))</f>
        <v/>
      </c>
      <c r="AC30" s="276" t="str">
        <f t="shared" ref="AC30:AC33" si="59">IF($C30="","",IF(AND(AD30&gt;4,MAX(AD30:AH30)&gt;6),1,0))</f>
        <v/>
      </c>
      <c r="AD30" s="37" t="str">
        <f>IF($C30="","",VLOOKUP($C30,CTBat!$G$10:$BR$203,AD$4,FALSE))</f>
        <v/>
      </c>
      <c r="AE30" s="37" t="str">
        <f>IF($C30="","",VLOOKUP($C30,CTBat!$G$10:$BR$203,AE$4,FALSE))</f>
        <v/>
      </c>
      <c r="AF30" s="37" t="str">
        <f>IF($C30="","",VLOOKUP($C30,CTBat!$G$10:$BR$203,AF$4,FALSE))</f>
        <v/>
      </c>
      <c r="AG30" s="37" t="str">
        <f>IF($C30="","",VLOOKUP($C30,CTBat!$G$10:$BR$203,AG$4,FALSE))</f>
        <v/>
      </c>
      <c r="AH30" s="37" t="str">
        <f>IF($C30="","",VLOOKUP($C30,CTBat!$G$10:$BR$203,AH$4,FALSE))</f>
        <v/>
      </c>
      <c r="AI30" s="37" t="str">
        <f>IF($C30="","",VLOOKUP($C30,CTBat!$G$10:$BR$203,AI$4,FALSE))</f>
        <v/>
      </c>
      <c r="AJ30" s="38" t="str">
        <f>IF($C30="","",VLOOKUP($C30,CTBat!$G$10:$BR$203,AJ$4,FALSE))</f>
        <v/>
      </c>
      <c r="AK30" s="67" t="str">
        <f>IF($C30="","",(5*AD30+4*AF30+3*AG30+2*AE30+1*AH30+0.5*(AVERAGE(AD30:AE30))+0.5*AVERAGE(AD30,AH30)+1*(AVERAGE(AD30,AF30))+1*AVERAGE(AD30,AG30))/(5+4+3+2+1+0.5+0.5+1+1))</f>
        <v/>
      </c>
      <c r="AL30" s="275" t="str">
        <f t="shared" ref="AL30:AL33" si="60">IF($C30="","",IF(AND(OR(AU30+AX30&gt;12,AND(AU30&gt;6,AX30&gt;6)),AI30&gt;6,OR(AJ30&gt;=AI30,AJ30&gt;6)),1,0))</f>
        <v/>
      </c>
      <c r="AM30" s="275" t="str">
        <f t="shared" ref="AM30:AM33" si="61">IF($C30="","",IF(OR(AND(AU30&gt;6,AY30&gt;6),AU30+AX30&gt;12),1,0))</f>
        <v/>
      </c>
      <c r="AN30" s="275" t="str">
        <f t="shared" ref="AN30:AN33" si="62">IF($C30="","",IF(AND(AU30&gt;6,AW30&gt;6,AX30&gt;6),1,0))</f>
        <v/>
      </c>
      <c r="AO30" s="275" t="str">
        <f t="shared" ref="AO30:AO33" si="63">IF($C30="","",IF(AND(AW30&gt;7,OR(AU30&gt;6,AX30&gt;6)),1,0))</f>
        <v/>
      </c>
      <c r="AP30" s="275" t="str">
        <f t="shared" ref="AP30:AP33" si="64">IF($C30="","",IF(AND(AW30&gt;6,OR(AU30&gt;6,AX30&gt;6)),1,0))</f>
        <v/>
      </c>
      <c r="AQ30" s="275" t="str">
        <f t="shared" ref="AQ30:AQ33" si="65">IF($C30="","",IF(AND(OR(AU30&gt;6,AW30&gt;6),OR(AU30&gt;6,AX30&gt;6)),1,0))</f>
        <v/>
      </c>
      <c r="AR30" s="275" t="str">
        <f t="shared" ref="AR30:AR33" si="66">IF($C30="","",IF(AND(AU30&gt;4,OR(AU30&gt;6,AW30&gt;6,AX30&gt;6)),1,0))</f>
        <v/>
      </c>
      <c r="AS30" s="275" t="str">
        <f t="shared" ref="AS30:AS33" si="67">IF($C30="","",IF(AND(AU30&gt;4,OR(AU30&gt;6,AV30&gt;6,AW30&gt;6,AX30&gt;6)),1,0))</f>
        <v/>
      </c>
      <c r="AT30" s="276" t="str">
        <f t="shared" ref="AT30:AT33" si="68">IF($C30="","",IF(AND(AU30&gt;4,MAX(AU30:AY30)&gt;6),1,0))</f>
        <v/>
      </c>
      <c r="AU30" s="58" t="str">
        <f>IF($C30="","",VLOOKUP($C30,CTBat!$G$10:$BR$203,AU$4,FALSE))</f>
        <v/>
      </c>
      <c r="AV30" s="37" t="str">
        <f>IF($C30="","",VLOOKUP($C30,CTBat!$G$10:$BR$203,AV$4,FALSE))</f>
        <v/>
      </c>
      <c r="AW30" s="37" t="str">
        <f>IF($C30="","",VLOOKUP($C30,CTBat!$G$10:$BR$203,AW$4,FALSE))</f>
        <v/>
      </c>
      <c r="AX30" s="37" t="str">
        <f>IF($C30="","",VLOOKUP($C30,CTBat!$G$10:$BR$203,AX$4,FALSE))</f>
        <v/>
      </c>
      <c r="AY30" s="38" t="str">
        <f>IF($C30="","",VLOOKUP($C30,CTBat!$G$10:$BR$203,AY$4,FALSE))</f>
        <v/>
      </c>
      <c r="AZ30" s="67" t="str">
        <f t="shared" ref="AZ30:AZ33" si="69">IF($C30="","",(5*AU30+4*AW30+3*AX30+2*AV30+1*AY30+0.5*(AVERAGE(AU30:AV30))+0.5*AVERAGE(AU30,AY30)+1*(AVERAGE(AU30,AW30))+1*AVERAGE(AU30,AX30))/(5+4+3+2+1+0.5+0.5+1+1))</f>
        <v/>
      </c>
    </row>
    <row r="31" spans="1:52">
      <c r="A31">
        <v>2</v>
      </c>
      <c r="B31" s="36" t="s">
        <v>101</v>
      </c>
      <c r="C31" s="37"/>
      <c r="D31" s="37" t="str">
        <f>IF($C31="","",VLOOKUP($C31,CTBat!$G$10:$BR$203,D$4,FALSE))</f>
        <v/>
      </c>
      <c r="E31" s="37" t="str">
        <f>IF($C31="","",VLOOKUP($C31,CTBat!$G$10:$BR$203,E$4,FALSE))</f>
        <v/>
      </c>
      <c r="F31" s="53" t="str">
        <f>IF($C31="","",IF(J31&gt;5,1,0))</f>
        <v/>
      </c>
      <c r="G31" s="275" t="str">
        <f t="shared" si="50"/>
        <v/>
      </c>
      <c r="H31" s="275" t="str">
        <f t="shared" si="50"/>
        <v/>
      </c>
      <c r="I31" s="275" t="str">
        <f>IF($C31="","","-")</f>
        <v/>
      </c>
      <c r="J31" s="58" t="str">
        <f>IF($C31="","",VLOOKUP($C31,CTBat!$G$10:$BR$203,J$4,FALSE))</f>
        <v/>
      </c>
      <c r="K31" s="37" t="str">
        <f>IF($C31="","",VLOOKUP($C31,CTBat!$G$10:$BR$203,K$4,FALSE))</f>
        <v/>
      </c>
      <c r="L31" s="38" t="str">
        <f>IF($C31="","",VLOOKUP($C31,CTBat!$G$10:$BR$203,L$4,FALSE))</f>
        <v/>
      </c>
      <c r="M31" s="37" t="str">
        <f>IF($C31="","",VLOOKUP($C31,CTBat!$G$10:$BR$203,M$4,FALSE))</f>
        <v/>
      </c>
      <c r="N31" s="37" t="str">
        <f>IF($C31="","",VLOOKUP($C31,CTBat!$G$10:$BR$203,N$4,FALSE))</f>
        <v/>
      </c>
      <c r="O31" s="37" t="str">
        <f>IF($C31="","",VLOOKUP($C31,CTBat!$G$10:$BR$203,O$4,FALSE))</f>
        <v/>
      </c>
      <c r="P31" s="37" t="str">
        <f>IF($C31="","",VLOOKUP($C31,CTBat!$G$10:$BR$203,P$4,FALSE))</f>
        <v/>
      </c>
      <c r="Q31" s="37" t="str">
        <f>IF($C31="","",VLOOKUP($C31,CTBat!$G$10:$BR$203,Q$4,FALSE))</f>
        <v/>
      </c>
      <c r="R31" s="37" t="str">
        <f>IF($C31="","",VLOOKUP($C31,CTBat!$G$10:$BR$203,R$4,FALSE))</f>
        <v/>
      </c>
      <c r="S31" s="37" t="str">
        <f>IF($C31="","",VLOOKUP($C31,CTBat!$G$10:$BR$203,S$4,FALSE))</f>
        <v/>
      </c>
      <c r="T31" s="38" t="str">
        <f>IF($C31="","",VLOOKUP($C31,CTBat!$G$10:$BR$203,T$4,FALSE))</f>
        <v/>
      </c>
      <c r="U31" s="275" t="str">
        <f t="shared" si="51"/>
        <v/>
      </c>
      <c r="V31" s="275" t="str">
        <f t="shared" si="52"/>
        <v/>
      </c>
      <c r="W31" s="275" t="str">
        <f t="shared" si="53"/>
        <v/>
      </c>
      <c r="X31" s="275" t="str">
        <f t="shared" si="54"/>
        <v/>
      </c>
      <c r="Y31" s="275" t="str">
        <f t="shared" si="55"/>
        <v/>
      </c>
      <c r="Z31" s="275" t="str">
        <f t="shared" si="56"/>
        <v/>
      </c>
      <c r="AA31" s="275" t="str">
        <f t="shared" si="57"/>
        <v/>
      </c>
      <c r="AB31" s="275" t="str">
        <f t="shared" si="58"/>
        <v/>
      </c>
      <c r="AC31" s="276" t="str">
        <f t="shared" si="59"/>
        <v/>
      </c>
      <c r="AD31" s="37" t="str">
        <f>IF($C31="","",VLOOKUP($C31,CTBat!$G$10:$BR$203,AD$4,FALSE))</f>
        <v/>
      </c>
      <c r="AE31" s="37" t="str">
        <f>IF($C31="","",VLOOKUP($C31,CTBat!$G$10:$BR$203,AE$4,FALSE))</f>
        <v/>
      </c>
      <c r="AF31" s="37" t="str">
        <f>IF($C31="","",VLOOKUP($C31,CTBat!$G$10:$BR$203,AF$4,FALSE))</f>
        <v/>
      </c>
      <c r="AG31" s="37" t="str">
        <f>IF($C31="","",VLOOKUP($C31,CTBat!$G$10:$BR$203,AG$4,FALSE))</f>
        <v/>
      </c>
      <c r="AH31" s="37" t="str">
        <f>IF($C31="","",VLOOKUP($C31,CTBat!$G$10:$BR$203,AH$4,FALSE))</f>
        <v/>
      </c>
      <c r="AI31" s="37" t="str">
        <f>IF($C31="","",VLOOKUP($C31,CTBat!$G$10:$BR$203,AI$4,FALSE))</f>
        <v/>
      </c>
      <c r="AJ31" s="38" t="str">
        <f>IF($C31="","",VLOOKUP($C31,CTBat!$G$10:$BR$203,AJ$4,FALSE))</f>
        <v/>
      </c>
      <c r="AK31" s="67" t="str">
        <f t="shared" ref="AK31:AK33" si="70">IF($C31="","",(5*AD31+4*AF31+3*AG31+2*AE31+1*AH31+0.5*(AVERAGE(AD31:AE31))+0.5*AVERAGE(AD31,AH31)+1*(AVERAGE(AD31,AF31))+1*AVERAGE(AD31,AG31))/(5+4+3+2+1+0.5+0.5+1+1))</f>
        <v/>
      </c>
      <c r="AL31" s="275" t="str">
        <f t="shared" si="60"/>
        <v/>
      </c>
      <c r="AM31" s="275" t="str">
        <f t="shared" si="61"/>
        <v/>
      </c>
      <c r="AN31" s="275" t="str">
        <f t="shared" si="62"/>
        <v/>
      </c>
      <c r="AO31" s="275" t="str">
        <f t="shared" si="63"/>
        <v/>
      </c>
      <c r="AP31" s="275" t="str">
        <f t="shared" si="64"/>
        <v/>
      </c>
      <c r="AQ31" s="275" t="str">
        <f t="shared" si="65"/>
        <v/>
      </c>
      <c r="AR31" s="275" t="str">
        <f t="shared" si="66"/>
        <v/>
      </c>
      <c r="AS31" s="275" t="str">
        <f t="shared" si="67"/>
        <v/>
      </c>
      <c r="AT31" s="276" t="str">
        <f t="shared" si="68"/>
        <v/>
      </c>
      <c r="AU31" s="58" t="str">
        <f>IF($C31="","",VLOOKUP($C31,CTBat!$G$10:$BR$203,AU$4,FALSE))</f>
        <v/>
      </c>
      <c r="AV31" s="37" t="str">
        <f>IF($C31="","",VLOOKUP($C31,CTBat!$G$10:$BR$203,AV$4,FALSE))</f>
        <v/>
      </c>
      <c r="AW31" s="37" t="str">
        <f>IF($C31="","",VLOOKUP($C31,CTBat!$G$10:$BR$203,AW$4,FALSE))</f>
        <v/>
      </c>
      <c r="AX31" s="37" t="str">
        <f>IF($C31="","",VLOOKUP($C31,CTBat!$G$10:$BR$203,AX$4,FALSE))</f>
        <v/>
      </c>
      <c r="AY31" s="38" t="str">
        <f>IF($C31="","",VLOOKUP($C31,CTBat!$G$10:$BR$203,AY$4,FALSE))</f>
        <v/>
      </c>
      <c r="AZ31" s="67" t="str">
        <f t="shared" si="69"/>
        <v/>
      </c>
    </row>
    <row r="32" spans="1:52">
      <c r="A32">
        <v>3</v>
      </c>
      <c r="B32" s="36" t="s">
        <v>101</v>
      </c>
      <c r="C32" s="37"/>
      <c r="D32" s="37" t="str">
        <f>IF($C32="","",VLOOKUP($C32,CTBat!$G$10:$BR$203,D$4,FALSE))</f>
        <v/>
      </c>
      <c r="E32" s="37" t="str">
        <f>IF($C32="","",VLOOKUP($C32,CTBat!$G$10:$BR$203,E$4,FALSE))</f>
        <v/>
      </c>
      <c r="F32" s="53" t="str">
        <f>IF($C32="","",IF(J32&gt;5,1,0))</f>
        <v/>
      </c>
      <c r="G32" s="275" t="str">
        <f t="shared" si="50"/>
        <v/>
      </c>
      <c r="H32" s="275" t="str">
        <f t="shared" si="50"/>
        <v/>
      </c>
      <c r="I32" s="275" t="str">
        <f>IF($C32="","","-")</f>
        <v/>
      </c>
      <c r="J32" s="58" t="str">
        <f>IF($C32="","",VLOOKUP($C32,CTBat!$G$10:$BR$203,J$4,FALSE))</f>
        <v/>
      </c>
      <c r="K32" s="37" t="str">
        <f>IF($C32="","",VLOOKUP($C32,CTBat!$G$10:$BR$203,K$4,FALSE))</f>
        <v/>
      </c>
      <c r="L32" s="38" t="str">
        <f>IF($C32="","",VLOOKUP($C32,CTBat!$G$10:$BR$203,L$4,FALSE))</f>
        <v/>
      </c>
      <c r="M32" s="37" t="str">
        <f>IF($C32="","",VLOOKUP($C32,CTBat!$G$10:$BR$203,M$4,FALSE))</f>
        <v/>
      </c>
      <c r="N32" s="37" t="str">
        <f>IF($C32="","",VLOOKUP($C32,CTBat!$G$10:$BR$203,N$4,FALSE))</f>
        <v/>
      </c>
      <c r="O32" s="37" t="str">
        <f>IF($C32="","",VLOOKUP($C32,CTBat!$G$10:$BR$203,O$4,FALSE))</f>
        <v/>
      </c>
      <c r="P32" s="37" t="str">
        <f>IF($C32="","",VLOOKUP($C32,CTBat!$G$10:$BR$203,P$4,FALSE))</f>
        <v/>
      </c>
      <c r="Q32" s="37" t="str">
        <f>IF($C32="","",VLOOKUP($C32,CTBat!$G$10:$BR$203,Q$4,FALSE))</f>
        <v/>
      </c>
      <c r="R32" s="37" t="str">
        <f>IF($C32="","",VLOOKUP($C32,CTBat!$G$10:$BR$203,R$4,FALSE))</f>
        <v/>
      </c>
      <c r="S32" s="37" t="str">
        <f>IF($C32="","",VLOOKUP($C32,CTBat!$G$10:$BR$203,S$4,FALSE))</f>
        <v/>
      </c>
      <c r="T32" s="38" t="str">
        <f>IF($C32="","",VLOOKUP($C32,CTBat!$G$10:$BR$203,T$4,FALSE))</f>
        <v/>
      </c>
      <c r="U32" s="275" t="str">
        <f t="shared" si="51"/>
        <v/>
      </c>
      <c r="V32" s="275" t="str">
        <f t="shared" si="52"/>
        <v/>
      </c>
      <c r="W32" s="275" t="str">
        <f t="shared" si="53"/>
        <v/>
      </c>
      <c r="X32" s="275" t="str">
        <f t="shared" si="54"/>
        <v/>
      </c>
      <c r="Y32" s="275" t="str">
        <f t="shared" si="55"/>
        <v/>
      </c>
      <c r="Z32" s="275" t="str">
        <f t="shared" si="56"/>
        <v/>
      </c>
      <c r="AA32" s="275" t="str">
        <f t="shared" si="57"/>
        <v/>
      </c>
      <c r="AB32" s="275" t="str">
        <f t="shared" si="58"/>
        <v/>
      </c>
      <c r="AC32" s="276" t="str">
        <f t="shared" si="59"/>
        <v/>
      </c>
      <c r="AD32" s="37" t="str">
        <f>IF($C32="","",VLOOKUP($C32,CTBat!$G$10:$BR$203,AD$4,FALSE))</f>
        <v/>
      </c>
      <c r="AE32" s="37" t="str">
        <f>IF($C32="","",VLOOKUP($C32,CTBat!$G$10:$BR$203,AE$4,FALSE))</f>
        <v/>
      </c>
      <c r="AF32" s="37" t="str">
        <f>IF($C32="","",VLOOKUP($C32,CTBat!$G$10:$BR$203,AF$4,FALSE))</f>
        <v/>
      </c>
      <c r="AG32" s="37" t="str">
        <f>IF($C32="","",VLOOKUP($C32,CTBat!$G$10:$BR$203,AG$4,FALSE))</f>
        <v/>
      </c>
      <c r="AH32" s="37" t="str">
        <f>IF($C32="","",VLOOKUP($C32,CTBat!$G$10:$BR$203,AH$4,FALSE))</f>
        <v/>
      </c>
      <c r="AI32" s="37" t="str">
        <f>IF($C32="","",VLOOKUP($C32,CTBat!$G$10:$BR$203,AI$4,FALSE))</f>
        <v/>
      </c>
      <c r="AJ32" s="38" t="str">
        <f>IF($C32="","",VLOOKUP($C32,CTBat!$G$10:$BR$203,AJ$4,FALSE))</f>
        <v/>
      </c>
      <c r="AK32" s="67" t="str">
        <f t="shared" si="70"/>
        <v/>
      </c>
      <c r="AL32" s="275" t="str">
        <f t="shared" si="60"/>
        <v/>
      </c>
      <c r="AM32" s="275" t="str">
        <f t="shared" si="61"/>
        <v/>
      </c>
      <c r="AN32" s="275" t="str">
        <f t="shared" si="62"/>
        <v/>
      </c>
      <c r="AO32" s="275" t="str">
        <f t="shared" si="63"/>
        <v/>
      </c>
      <c r="AP32" s="275" t="str">
        <f t="shared" si="64"/>
        <v/>
      </c>
      <c r="AQ32" s="275" t="str">
        <f t="shared" si="65"/>
        <v/>
      </c>
      <c r="AR32" s="275" t="str">
        <f t="shared" si="66"/>
        <v/>
      </c>
      <c r="AS32" s="275" t="str">
        <f t="shared" si="67"/>
        <v/>
      </c>
      <c r="AT32" s="276" t="str">
        <f t="shared" si="68"/>
        <v/>
      </c>
      <c r="AU32" s="58" t="str">
        <f>IF($C32="","",VLOOKUP($C32,CTBat!$G$10:$BR$203,AU$4,FALSE))</f>
        <v/>
      </c>
      <c r="AV32" s="37" t="str">
        <f>IF($C32="","",VLOOKUP($C32,CTBat!$G$10:$BR$203,AV$4,FALSE))</f>
        <v/>
      </c>
      <c r="AW32" s="37" t="str">
        <f>IF($C32="","",VLOOKUP($C32,CTBat!$G$10:$BR$203,AW$4,FALSE))</f>
        <v/>
      </c>
      <c r="AX32" s="37" t="str">
        <f>IF($C32="","",VLOOKUP($C32,CTBat!$G$10:$BR$203,AX$4,FALSE))</f>
        <v/>
      </c>
      <c r="AY32" s="38" t="str">
        <f>IF($C32="","",VLOOKUP($C32,CTBat!$G$10:$BR$203,AY$4,FALSE))</f>
        <v/>
      </c>
      <c r="AZ32" s="67" t="str">
        <f t="shared" si="69"/>
        <v/>
      </c>
    </row>
    <row r="33" spans="1:52">
      <c r="A33">
        <v>4</v>
      </c>
      <c r="B33" s="39" t="s">
        <v>101</v>
      </c>
      <c r="C33" s="40"/>
      <c r="D33" s="40" t="str">
        <f>IF($C33="","",VLOOKUP($C33,CTBat!$G$10:$BR$203,D$4,FALSE))</f>
        <v/>
      </c>
      <c r="E33" s="40" t="str">
        <f>IF($C33="","",VLOOKUP($C33,CTBat!$G$10:$BR$203,E$4,FALSE))</f>
        <v/>
      </c>
      <c r="F33" s="54" t="str">
        <f>IF($C33="","",IF(J33&gt;5,1,0))</f>
        <v/>
      </c>
      <c r="G33" s="273" t="str">
        <f t="shared" si="50"/>
        <v/>
      </c>
      <c r="H33" s="273" t="str">
        <f t="shared" si="50"/>
        <v/>
      </c>
      <c r="I33" s="273" t="str">
        <f>IF($C33="","","-")</f>
        <v/>
      </c>
      <c r="J33" s="59" t="str">
        <f>IF($C33="","",VLOOKUP($C33,CTBat!$G$10:$BR$203,J$4,FALSE))</f>
        <v/>
      </c>
      <c r="K33" s="40" t="str">
        <f>IF($C33="","",VLOOKUP($C33,CTBat!$G$10:$BR$203,K$4,FALSE))</f>
        <v/>
      </c>
      <c r="L33" s="42" t="str">
        <f>IF($C33="","",VLOOKUP($C33,CTBat!$G$10:$BR$203,L$4,FALSE))</f>
        <v/>
      </c>
      <c r="M33" s="40" t="str">
        <f>IF($C33="","",VLOOKUP($C33,CTBat!$G$10:$BR$203,M$4,FALSE))</f>
        <v/>
      </c>
      <c r="N33" s="40" t="str">
        <f>IF($C33="","",VLOOKUP($C33,CTBat!$G$10:$BR$203,N$4,FALSE))</f>
        <v/>
      </c>
      <c r="O33" s="40" t="str">
        <f>IF($C33="","",VLOOKUP($C33,CTBat!$G$10:$BR$203,O$4,FALSE))</f>
        <v/>
      </c>
      <c r="P33" s="40" t="str">
        <f>IF($C33="","",VLOOKUP($C33,CTBat!$G$10:$BR$203,P$4,FALSE))</f>
        <v/>
      </c>
      <c r="Q33" s="40" t="str">
        <f>IF($C33="","",VLOOKUP($C33,CTBat!$G$10:$BR$203,Q$4,FALSE))</f>
        <v/>
      </c>
      <c r="R33" s="40" t="str">
        <f>IF($C33="","",VLOOKUP($C33,CTBat!$G$10:$BR$203,R$4,FALSE))</f>
        <v/>
      </c>
      <c r="S33" s="40" t="str">
        <f>IF($C33="","",VLOOKUP($C33,CTBat!$G$10:$BR$203,S$4,FALSE))</f>
        <v/>
      </c>
      <c r="T33" s="42" t="str">
        <f>IF($C33="","",VLOOKUP($C33,CTBat!$G$10:$BR$203,T$4,FALSE))</f>
        <v/>
      </c>
      <c r="U33" s="273" t="str">
        <f t="shared" si="51"/>
        <v/>
      </c>
      <c r="V33" s="273" t="str">
        <f t="shared" si="52"/>
        <v/>
      </c>
      <c r="W33" s="273" t="str">
        <f t="shared" si="53"/>
        <v/>
      </c>
      <c r="X33" s="273" t="str">
        <f t="shared" si="54"/>
        <v/>
      </c>
      <c r="Y33" s="273" t="str">
        <f t="shared" si="55"/>
        <v/>
      </c>
      <c r="Z33" s="273" t="str">
        <f t="shared" si="56"/>
        <v/>
      </c>
      <c r="AA33" s="273" t="str">
        <f t="shared" si="57"/>
        <v/>
      </c>
      <c r="AB33" s="273" t="str">
        <f t="shared" si="58"/>
        <v/>
      </c>
      <c r="AC33" s="274" t="str">
        <f t="shared" si="59"/>
        <v/>
      </c>
      <c r="AD33" s="40" t="str">
        <f>IF($C33="","",VLOOKUP($C33,CTBat!$G$10:$BR$203,AD$4,FALSE))</f>
        <v/>
      </c>
      <c r="AE33" s="40" t="str">
        <f>IF($C33="","",VLOOKUP($C33,CTBat!$G$10:$BR$203,AE$4,FALSE))</f>
        <v/>
      </c>
      <c r="AF33" s="40" t="str">
        <f>IF($C33="","",VLOOKUP($C33,CTBat!$G$10:$BR$203,AF$4,FALSE))</f>
        <v/>
      </c>
      <c r="AG33" s="40" t="str">
        <f>IF($C33="","",VLOOKUP($C33,CTBat!$G$10:$BR$203,AG$4,FALSE))</f>
        <v/>
      </c>
      <c r="AH33" s="40" t="str">
        <f>IF($C33="","",VLOOKUP($C33,CTBat!$G$10:$BR$203,AH$4,FALSE))</f>
        <v/>
      </c>
      <c r="AI33" s="40" t="str">
        <f>IF($C33="","",VLOOKUP($C33,CTBat!$G$10:$BR$203,AI$4,FALSE))</f>
        <v/>
      </c>
      <c r="AJ33" s="42" t="str">
        <f>IF($C33="","",VLOOKUP($C33,CTBat!$G$10:$BR$203,AJ$4,FALSE))</f>
        <v/>
      </c>
      <c r="AK33" s="68" t="str">
        <f t="shared" si="70"/>
        <v/>
      </c>
      <c r="AL33" s="273" t="str">
        <f t="shared" si="60"/>
        <v/>
      </c>
      <c r="AM33" s="273" t="str">
        <f t="shared" si="61"/>
        <v/>
      </c>
      <c r="AN33" s="273" t="str">
        <f t="shared" si="62"/>
        <v/>
      </c>
      <c r="AO33" s="273" t="str">
        <f t="shared" si="63"/>
        <v/>
      </c>
      <c r="AP33" s="273" t="str">
        <f t="shared" si="64"/>
        <v/>
      </c>
      <c r="AQ33" s="273" t="str">
        <f t="shared" si="65"/>
        <v/>
      </c>
      <c r="AR33" s="273" t="str">
        <f t="shared" si="66"/>
        <v/>
      </c>
      <c r="AS33" s="273" t="str">
        <f t="shared" si="67"/>
        <v/>
      </c>
      <c r="AT33" s="274" t="str">
        <f t="shared" si="68"/>
        <v/>
      </c>
      <c r="AU33" s="59" t="str">
        <f>IF($C33="","",VLOOKUP($C33,CTBat!$G$10:$BR$203,AU$4,FALSE))</f>
        <v/>
      </c>
      <c r="AV33" s="40" t="str">
        <f>IF($C33="","",VLOOKUP($C33,CTBat!$G$10:$BR$203,AV$4,FALSE))</f>
        <v/>
      </c>
      <c r="AW33" s="40" t="str">
        <f>IF($C33="","",VLOOKUP($C33,CTBat!$G$10:$BR$203,AW$4,FALSE))</f>
        <v/>
      </c>
      <c r="AX33" s="40" t="str">
        <f>IF($C33="","",VLOOKUP($C33,CTBat!$G$10:$BR$203,AX$4,FALSE))</f>
        <v/>
      </c>
      <c r="AY33" s="42" t="str">
        <f>IF($C33="","",VLOOKUP($C33,CTBat!$G$10:$BR$203,AY$4,FALSE))</f>
        <v/>
      </c>
      <c r="AZ33" s="68" t="str">
        <f t="shared" si="69"/>
        <v/>
      </c>
    </row>
    <row r="35" spans="1:52" s="1" customFormat="1">
      <c r="B35" s="270" t="s">
        <v>155</v>
      </c>
      <c r="C35" s="44" t="s">
        <v>118</v>
      </c>
      <c r="D35" s="44" t="s">
        <v>119</v>
      </c>
      <c r="E35" s="50" t="s">
        <v>101</v>
      </c>
      <c r="F35" s="271" t="s">
        <v>156</v>
      </c>
      <c r="G35" s="271" t="s">
        <v>160</v>
      </c>
      <c r="H35" s="272" t="s">
        <v>158</v>
      </c>
      <c r="I35" s="88" t="s">
        <v>182</v>
      </c>
      <c r="J35" s="270" t="s">
        <v>92</v>
      </c>
      <c r="K35" s="271" t="s">
        <v>145</v>
      </c>
      <c r="L35" s="271" t="s">
        <v>146</v>
      </c>
      <c r="M35" s="271" t="s">
        <v>203</v>
      </c>
      <c r="N35" s="271" t="s">
        <v>93</v>
      </c>
      <c r="O35" s="270" t="s">
        <v>204</v>
      </c>
      <c r="P35" s="272" t="s">
        <v>205</v>
      </c>
      <c r="Q35" s="270" t="s">
        <v>213</v>
      </c>
      <c r="R35" s="87" t="s">
        <v>231</v>
      </c>
      <c r="T35" s="270" t="s">
        <v>119</v>
      </c>
      <c r="U35" s="270" t="s">
        <v>214</v>
      </c>
      <c r="V35" s="272" t="s">
        <v>235</v>
      </c>
      <c r="W35" s="271" t="s">
        <v>213</v>
      </c>
      <c r="X35" s="272" t="s">
        <v>231</v>
      </c>
      <c r="AG35" s="336" t="s">
        <v>348</v>
      </c>
      <c r="AH35" s="337"/>
      <c r="AI35" s="337"/>
      <c r="AJ35" s="337"/>
      <c r="AK35" s="337"/>
      <c r="AL35" s="337"/>
      <c r="AM35" s="337"/>
      <c r="AN35" s="337"/>
      <c r="AO35" s="337"/>
      <c r="AP35" s="337"/>
      <c r="AQ35" s="337"/>
      <c r="AR35" s="337"/>
      <c r="AS35" s="337"/>
      <c r="AT35" s="338"/>
    </row>
    <row r="36" spans="1:52">
      <c r="B36" s="36">
        <v>1</v>
      </c>
      <c r="C36" s="57"/>
      <c r="D36" s="33" t="s">
        <v>99</v>
      </c>
      <c r="E36" s="38" t="str">
        <f t="shared" ref="E36:E44" si="71">IF($C36="","",VLOOKUP($C36,$C$6:$AK$33,$E$4-2,FALSE))</f>
        <v/>
      </c>
      <c r="F36" s="275" t="str">
        <f t="shared" ref="F36:F44" si="72">IF($C36="","",VLOOKUP($C36,$C$6:$AK$33,18+$B36,FALSE))</f>
        <v/>
      </c>
      <c r="G36" s="275" t="str">
        <f t="shared" ref="G36:G44" si="73">IF($C36="","",IF(VLOOKUP($C36,$C$6:$AK$33,18+3,FALSE)=1,3,IF(VLOOKUP($C36,$C$6:$AK$33,18+4,FALSE)=1,4,IF(VLOOKUP($C36,$C$6:$AK$33,18+1,FALSE)=1,1,IF(VLOOKUP($C36,$C$6:$AK$33,18+5,FALSE)=1,5,IF(VLOOKUP($C36,$C$6:$AK$33,18+2,FALSE)=1,2,IF(VLOOKUP($C36,$C$6:$AK$33,18+6,FALSE)=1,6,IF(VLOOKUP($C36,$C$6:$AK$33,18+7,FALSE)=1,7,IF(VLOOKUP($C36,$C$6:$AK$33,18+8,FALSE)=1,8,9)))))))))</f>
        <v/>
      </c>
      <c r="H36" s="8" t="str">
        <f t="shared" ref="H36:H44" si="74">IF($C36="","",VLOOKUP($C36,$C$6:$AK$33,35,FALSE))</f>
        <v/>
      </c>
      <c r="I36" s="89">
        <v>3</v>
      </c>
      <c r="J36" s="53" t="str">
        <f t="shared" ref="J36:J44" si="75">IF($C36="","",VLOOKUP($C36,$C$6:$AZ$33,17+AD$4,FALSE))</f>
        <v/>
      </c>
      <c r="K36" s="275" t="str">
        <f t="shared" ref="K36:K44" si="76">IF($C36="","",VLOOKUP($C36,$C$6:$AZ$33,17+AE$4,FALSE))</f>
        <v/>
      </c>
      <c r="L36" s="275" t="str">
        <f t="shared" ref="L36:L44" si="77">IF($C36="","",VLOOKUP($C36,$C$6:$AZ$33,17+AF$4,FALSE))</f>
        <v/>
      </c>
      <c r="M36" s="275" t="str">
        <f t="shared" ref="M36:M44" si="78">IF($C36="","",VLOOKUP($C36,$C$6:$AZ$33,17+AG$4,FALSE))</f>
        <v/>
      </c>
      <c r="N36" s="275" t="str">
        <f t="shared" ref="N36:N44" si="79">IF($C36="","",VLOOKUP($C36,$C$6:$AZ$33,17+AH$4,FALSE))</f>
        <v/>
      </c>
      <c r="O36" s="53" t="str">
        <f t="shared" ref="O36:O44" si="80">IF($C36="","",VLOOKUP($C36,$C$6:$AZ$33,1+AI$4,FALSE))</f>
        <v/>
      </c>
      <c r="P36" s="276" t="str">
        <f t="shared" ref="P36:P44" si="81">IF($C36="","",VLOOKUP($C36,$C$6:$AZ$33,1+AJ$4,FALSE))</f>
        <v/>
      </c>
      <c r="Q36" s="116" t="str">
        <f t="shared" ref="Q36:Q44" si="82">IF($C36="","",IF($D36="DH","-",VLOOKUP($C36,$C$5:$AZ$33,9+VLOOKUP($D36,$T$35:$U$43,2,FALSE),FALSE)))</f>
        <v/>
      </c>
      <c r="R36" s="101" t="str">
        <f t="shared" ref="R36:R44" si="83">IF($C36="","",IF($D36="DH","-",VLOOKUP($C36,$C$5:$AZ$33,VLOOKUP($D36,$T$35:$V$43,3,FALSE),FALSE)))</f>
        <v/>
      </c>
      <c r="T36" s="53" t="s">
        <v>92</v>
      </c>
      <c r="U36" s="53">
        <v>2</v>
      </c>
      <c r="V36" s="276">
        <v>8</v>
      </c>
      <c r="W36" s="275" t="str">
        <f>VLOOKUP($T36,$D$35:$R$44,14,FALSE)</f>
        <v/>
      </c>
      <c r="X36" s="276" t="str">
        <f>VLOOKUP($T36,$D$35:$R$44,15,FALSE)</f>
        <v/>
      </c>
      <c r="AG36" s="201">
        <v>1</v>
      </c>
      <c r="AH36" s="331" t="s">
        <v>343</v>
      </c>
      <c r="AI36" s="331"/>
      <c r="AJ36" s="331"/>
      <c r="AK36" s="331"/>
      <c r="AL36" s="331"/>
      <c r="AM36" s="331"/>
      <c r="AN36" s="331"/>
      <c r="AO36" s="331"/>
      <c r="AP36" s="331"/>
      <c r="AQ36" s="331"/>
      <c r="AR36" s="331"/>
      <c r="AS36" s="331"/>
      <c r="AT36" s="332"/>
    </row>
    <row r="37" spans="1:52">
      <c r="B37" s="36">
        <v>2</v>
      </c>
      <c r="C37" s="58"/>
      <c r="D37" s="37" t="s">
        <v>18</v>
      </c>
      <c r="E37" s="38" t="str">
        <f t="shared" si="71"/>
        <v/>
      </c>
      <c r="F37" s="275" t="str">
        <f t="shared" si="72"/>
        <v/>
      </c>
      <c r="G37" s="275" t="str">
        <f t="shared" si="73"/>
        <v/>
      </c>
      <c r="H37" s="8" t="str">
        <f t="shared" si="74"/>
        <v/>
      </c>
      <c r="I37" s="89">
        <v>5</v>
      </c>
      <c r="J37" s="53" t="str">
        <f t="shared" si="75"/>
        <v/>
      </c>
      <c r="K37" s="275" t="str">
        <f t="shared" si="76"/>
        <v/>
      </c>
      <c r="L37" s="275" t="str">
        <f t="shared" si="77"/>
        <v/>
      </c>
      <c r="M37" s="275" t="str">
        <f t="shared" si="78"/>
        <v/>
      </c>
      <c r="N37" s="275" t="str">
        <f t="shared" si="79"/>
        <v/>
      </c>
      <c r="O37" s="53" t="str">
        <f t="shared" si="80"/>
        <v/>
      </c>
      <c r="P37" s="276" t="str">
        <f t="shared" si="81"/>
        <v/>
      </c>
      <c r="Q37" s="117" t="str">
        <f t="shared" si="82"/>
        <v/>
      </c>
      <c r="R37" s="101" t="str">
        <f t="shared" si="83"/>
        <v/>
      </c>
      <c r="T37" s="53" t="s">
        <v>94</v>
      </c>
      <c r="U37" s="53">
        <v>3</v>
      </c>
      <c r="V37" s="276">
        <v>9</v>
      </c>
      <c r="W37" s="275" t="str">
        <f t="shared" ref="W37:W43" si="84">VLOOKUP($T37,$D$35:$R$44,14,FALSE)</f>
        <v/>
      </c>
      <c r="X37" s="276" t="str">
        <f t="shared" ref="X37:X43" si="85">VLOOKUP($T37,$D$35:$R$44,15,FALSE)</f>
        <v/>
      </c>
      <c r="AG37" s="77">
        <v>2</v>
      </c>
      <c r="AH37" s="331" t="s">
        <v>344</v>
      </c>
      <c r="AI37" s="331"/>
      <c r="AJ37" s="331"/>
      <c r="AK37" s="331"/>
      <c r="AL37" s="331"/>
      <c r="AM37" s="331"/>
      <c r="AN37" s="331"/>
      <c r="AO37" s="331"/>
      <c r="AP37" s="331"/>
      <c r="AQ37" s="331"/>
      <c r="AR37" s="331"/>
      <c r="AS37" s="331"/>
      <c r="AT37" s="332"/>
    </row>
    <row r="38" spans="1:52">
      <c r="B38" s="36">
        <v>3</v>
      </c>
      <c r="C38" s="58"/>
      <c r="D38" s="37" t="s">
        <v>97</v>
      </c>
      <c r="E38" s="38" t="str">
        <f t="shared" si="71"/>
        <v/>
      </c>
      <c r="F38" s="275" t="str">
        <f t="shared" si="72"/>
        <v/>
      </c>
      <c r="G38" s="275" t="str">
        <f t="shared" si="73"/>
        <v/>
      </c>
      <c r="H38" s="8" t="str">
        <f t="shared" si="74"/>
        <v/>
      </c>
      <c r="I38" s="89">
        <v>1</v>
      </c>
      <c r="J38" s="53" t="str">
        <f t="shared" si="75"/>
        <v/>
      </c>
      <c r="K38" s="275" t="str">
        <f t="shared" si="76"/>
        <v/>
      </c>
      <c r="L38" s="275" t="str">
        <f t="shared" si="77"/>
        <v/>
      </c>
      <c r="M38" s="275" t="str">
        <f t="shared" si="78"/>
        <v/>
      </c>
      <c r="N38" s="275" t="str">
        <f t="shared" si="79"/>
        <v/>
      </c>
      <c r="O38" s="53" t="str">
        <f t="shared" si="80"/>
        <v/>
      </c>
      <c r="P38" s="276" t="str">
        <f t="shared" si="81"/>
        <v/>
      </c>
      <c r="Q38" s="117" t="str">
        <f t="shared" si="82"/>
        <v/>
      </c>
      <c r="R38" s="101" t="str">
        <f t="shared" si="83"/>
        <v/>
      </c>
      <c r="T38" s="53" t="s">
        <v>95</v>
      </c>
      <c r="U38" s="53">
        <v>4</v>
      </c>
      <c r="V38" s="276">
        <v>9</v>
      </c>
      <c r="W38" s="275" t="str">
        <f t="shared" si="84"/>
        <v/>
      </c>
      <c r="X38" s="276" t="str">
        <f t="shared" si="85"/>
        <v/>
      </c>
      <c r="AG38" s="77">
        <v>3</v>
      </c>
      <c r="AH38" s="331" t="s">
        <v>346</v>
      </c>
      <c r="AI38" s="331"/>
      <c r="AJ38" s="331"/>
      <c r="AK38" s="331"/>
      <c r="AL38" s="331"/>
      <c r="AM38" s="331"/>
      <c r="AN38" s="331"/>
      <c r="AO38" s="331"/>
      <c r="AP38" s="331"/>
      <c r="AQ38" s="331"/>
      <c r="AR38" s="331"/>
      <c r="AS38" s="331"/>
      <c r="AT38" s="332"/>
    </row>
    <row r="39" spans="1:52">
      <c r="B39" s="36">
        <v>4</v>
      </c>
      <c r="C39" s="58"/>
      <c r="D39" s="65" t="s">
        <v>94</v>
      </c>
      <c r="E39" s="38" t="str">
        <f t="shared" si="71"/>
        <v/>
      </c>
      <c r="F39" s="275" t="str">
        <f t="shared" si="72"/>
        <v/>
      </c>
      <c r="G39" s="275" t="str">
        <f t="shared" si="73"/>
        <v/>
      </c>
      <c r="H39" s="8" t="str">
        <f t="shared" si="74"/>
        <v/>
      </c>
      <c r="I39" s="89">
        <v>2</v>
      </c>
      <c r="J39" s="53" t="str">
        <f t="shared" si="75"/>
        <v/>
      </c>
      <c r="K39" s="275" t="str">
        <f t="shared" si="76"/>
        <v/>
      </c>
      <c r="L39" s="275" t="str">
        <f t="shared" si="77"/>
        <v/>
      </c>
      <c r="M39" s="275" t="str">
        <f t="shared" si="78"/>
        <v/>
      </c>
      <c r="N39" s="275" t="str">
        <f t="shared" si="79"/>
        <v/>
      </c>
      <c r="O39" s="53" t="str">
        <f t="shared" si="80"/>
        <v/>
      </c>
      <c r="P39" s="276" t="str">
        <f t="shared" si="81"/>
        <v/>
      </c>
      <c r="Q39" s="117" t="str">
        <f t="shared" si="82"/>
        <v/>
      </c>
      <c r="R39" s="101" t="str">
        <f t="shared" si="83"/>
        <v/>
      </c>
      <c r="T39" s="53" t="s">
        <v>96</v>
      </c>
      <c r="U39" s="53">
        <v>5</v>
      </c>
      <c r="V39" s="276">
        <v>9</v>
      </c>
      <c r="W39" s="275" t="str">
        <f t="shared" si="84"/>
        <v/>
      </c>
      <c r="X39" s="276" t="str">
        <f t="shared" si="85"/>
        <v/>
      </c>
      <c r="AG39" s="77">
        <v>4</v>
      </c>
      <c r="AH39" s="341" t="s">
        <v>345</v>
      </c>
      <c r="AI39" s="341"/>
      <c r="AJ39" s="341"/>
      <c r="AK39" s="341"/>
      <c r="AL39" s="341"/>
      <c r="AM39" s="341"/>
      <c r="AN39" s="341"/>
      <c r="AO39" s="341"/>
      <c r="AP39" s="341"/>
      <c r="AQ39" s="341"/>
      <c r="AR39" s="341"/>
      <c r="AS39" s="341"/>
      <c r="AT39" s="341"/>
    </row>
    <row r="40" spans="1:52">
      <c r="B40" s="36">
        <v>5</v>
      </c>
      <c r="C40" s="58"/>
      <c r="D40" s="65" t="s">
        <v>92</v>
      </c>
      <c r="E40" s="38" t="str">
        <f t="shared" si="71"/>
        <v/>
      </c>
      <c r="F40" s="275" t="str">
        <f t="shared" si="72"/>
        <v/>
      </c>
      <c r="G40" s="275" t="str">
        <f t="shared" si="73"/>
        <v/>
      </c>
      <c r="H40" s="8" t="str">
        <f t="shared" si="74"/>
        <v/>
      </c>
      <c r="I40" s="89">
        <v>4</v>
      </c>
      <c r="J40" s="53" t="str">
        <f t="shared" si="75"/>
        <v/>
      </c>
      <c r="K40" s="275" t="str">
        <f t="shared" si="76"/>
        <v/>
      </c>
      <c r="L40" s="275" t="str">
        <f t="shared" si="77"/>
        <v/>
      </c>
      <c r="M40" s="275" t="str">
        <f t="shared" si="78"/>
        <v/>
      </c>
      <c r="N40" s="275" t="str">
        <f t="shared" si="79"/>
        <v/>
      </c>
      <c r="O40" s="53" t="str">
        <f t="shared" si="80"/>
        <v/>
      </c>
      <c r="P40" s="276" t="str">
        <f t="shared" si="81"/>
        <v/>
      </c>
      <c r="Q40" s="117" t="str">
        <f t="shared" si="82"/>
        <v/>
      </c>
      <c r="R40" s="101" t="str">
        <f t="shared" si="83"/>
        <v/>
      </c>
      <c r="T40" s="53" t="s">
        <v>97</v>
      </c>
      <c r="U40" s="53">
        <v>6</v>
      </c>
      <c r="V40" s="276">
        <v>9</v>
      </c>
      <c r="W40" s="275" t="str">
        <f t="shared" si="84"/>
        <v/>
      </c>
      <c r="X40" s="276" t="str">
        <f t="shared" si="85"/>
        <v/>
      </c>
      <c r="AG40" s="78">
        <v>5</v>
      </c>
      <c r="AH40" s="334" t="s">
        <v>347</v>
      </c>
      <c r="AI40" s="334"/>
      <c r="AJ40" s="334"/>
      <c r="AK40" s="334"/>
      <c r="AL40" s="334"/>
      <c r="AM40" s="334"/>
      <c r="AN40" s="334"/>
      <c r="AO40" s="334"/>
      <c r="AP40" s="334"/>
      <c r="AQ40" s="334"/>
      <c r="AR40" s="334"/>
      <c r="AS40" s="334"/>
      <c r="AT40" s="335"/>
    </row>
    <row r="41" spans="1:52">
      <c r="B41" s="36">
        <v>6</v>
      </c>
      <c r="C41" s="58"/>
      <c r="D41" s="65" t="s">
        <v>100</v>
      </c>
      <c r="E41" s="38" t="str">
        <f t="shared" si="71"/>
        <v/>
      </c>
      <c r="F41" s="275" t="str">
        <f t="shared" si="72"/>
        <v/>
      </c>
      <c r="G41" s="275" t="str">
        <f t="shared" si="73"/>
        <v/>
      </c>
      <c r="H41" s="8" t="str">
        <f t="shared" si="74"/>
        <v/>
      </c>
      <c r="I41" s="89">
        <v>6</v>
      </c>
      <c r="J41" s="53" t="str">
        <f t="shared" si="75"/>
        <v/>
      </c>
      <c r="K41" s="275" t="str">
        <f t="shared" si="76"/>
        <v/>
      </c>
      <c r="L41" s="275" t="str">
        <f t="shared" si="77"/>
        <v/>
      </c>
      <c r="M41" s="275" t="str">
        <f t="shared" si="78"/>
        <v/>
      </c>
      <c r="N41" s="275" t="str">
        <f t="shared" si="79"/>
        <v/>
      </c>
      <c r="O41" s="53" t="str">
        <f t="shared" si="80"/>
        <v/>
      </c>
      <c r="P41" s="276" t="str">
        <f t="shared" si="81"/>
        <v/>
      </c>
      <c r="Q41" s="117" t="str">
        <f t="shared" si="82"/>
        <v/>
      </c>
      <c r="R41" s="101" t="str">
        <f t="shared" si="83"/>
        <v/>
      </c>
      <c r="T41" s="53" t="s">
        <v>98</v>
      </c>
      <c r="U41" s="53">
        <v>7</v>
      </c>
      <c r="V41" s="276">
        <v>10</v>
      </c>
      <c r="W41" s="275" t="str">
        <f t="shared" si="84"/>
        <v/>
      </c>
      <c r="X41" s="276" t="str">
        <f t="shared" si="85"/>
        <v/>
      </c>
    </row>
    <row r="42" spans="1:52">
      <c r="B42" s="36">
        <v>7</v>
      </c>
      <c r="C42" s="58"/>
      <c r="D42" s="65" t="s">
        <v>98</v>
      </c>
      <c r="E42" s="38" t="str">
        <f t="shared" si="71"/>
        <v/>
      </c>
      <c r="F42" s="275" t="str">
        <f t="shared" si="72"/>
        <v/>
      </c>
      <c r="G42" s="275" t="str">
        <f t="shared" si="73"/>
        <v/>
      </c>
      <c r="H42" s="8" t="str">
        <f t="shared" si="74"/>
        <v/>
      </c>
      <c r="I42" s="89">
        <v>7</v>
      </c>
      <c r="J42" s="53" t="str">
        <f t="shared" si="75"/>
        <v/>
      </c>
      <c r="K42" s="275" t="str">
        <f t="shared" si="76"/>
        <v/>
      </c>
      <c r="L42" s="275" t="str">
        <f t="shared" si="77"/>
        <v/>
      </c>
      <c r="M42" s="275" t="str">
        <f t="shared" si="78"/>
        <v/>
      </c>
      <c r="N42" s="275" t="str">
        <f t="shared" si="79"/>
        <v/>
      </c>
      <c r="O42" s="53" t="str">
        <f t="shared" si="80"/>
        <v/>
      </c>
      <c r="P42" s="276" t="str">
        <f t="shared" si="81"/>
        <v/>
      </c>
      <c r="Q42" s="117" t="str">
        <f t="shared" si="82"/>
        <v/>
      </c>
      <c r="R42" s="101" t="str">
        <f t="shared" si="83"/>
        <v/>
      </c>
      <c r="T42" s="53" t="s">
        <v>99</v>
      </c>
      <c r="U42" s="53">
        <v>8</v>
      </c>
      <c r="V42" s="276">
        <v>10</v>
      </c>
      <c r="W42" s="275" t="str">
        <f t="shared" si="84"/>
        <v/>
      </c>
      <c r="X42" s="276" t="str">
        <f t="shared" si="85"/>
        <v/>
      </c>
    </row>
    <row r="43" spans="1:52">
      <c r="B43" s="36">
        <v>8</v>
      </c>
      <c r="C43" s="58"/>
      <c r="D43" s="65" t="s">
        <v>96</v>
      </c>
      <c r="E43" s="38" t="str">
        <f t="shared" si="71"/>
        <v/>
      </c>
      <c r="F43" s="275" t="str">
        <f t="shared" si="72"/>
        <v/>
      </c>
      <c r="G43" s="275" t="str">
        <f t="shared" si="73"/>
        <v/>
      </c>
      <c r="H43" s="8" t="str">
        <f t="shared" si="74"/>
        <v/>
      </c>
      <c r="I43" s="89">
        <v>8</v>
      </c>
      <c r="J43" s="53" t="str">
        <f t="shared" si="75"/>
        <v/>
      </c>
      <c r="K43" s="275" t="str">
        <f t="shared" si="76"/>
        <v/>
      </c>
      <c r="L43" s="275" t="str">
        <f t="shared" si="77"/>
        <v/>
      </c>
      <c r="M43" s="275" t="str">
        <f t="shared" si="78"/>
        <v/>
      </c>
      <c r="N43" s="275" t="str">
        <f t="shared" si="79"/>
        <v/>
      </c>
      <c r="O43" s="53" t="str">
        <f t="shared" si="80"/>
        <v/>
      </c>
      <c r="P43" s="276" t="str">
        <f t="shared" si="81"/>
        <v/>
      </c>
      <c r="Q43" s="117" t="str">
        <f t="shared" si="82"/>
        <v/>
      </c>
      <c r="R43" s="101" t="str">
        <f t="shared" si="83"/>
        <v/>
      </c>
      <c r="T43" s="54" t="s">
        <v>100</v>
      </c>
      <c r="U43" s="54">
        <v>9</v>
      </c>
      <c r="V43" s="274">
        <v>10</v>
      </c>
      <c r="W43" s="273" t="str">
        <f t="shared" si="84"/>
        <v/>
      </c>
      <c r="X43" s="274" t="str">
        <f t="shared" si="85"/>
        <v/>
      </c>
    </row>
    <row r="44" spans="1:52">
      <c r="B44" s="39">
        <v>9</v>
      </c>
      <c r="C44" s="59"/>
      <c r="D44" s="40" t="s">
        <v>95</v>
      </c>
      <c r="E44" s="42" t="str">
        <f t="shared" si="71"/>
        <v/>
      </c>
      <c r="F44" s="273" t="str">
        <f t="shared" si="72"/>
        <v/>
      </c>
      <c r="G44" s="273" t="str">
        <f t="shared" si="73"/>
        <v/>
      </c>
      <c r="H44" s="69" t="str">
        <f t="shared" si="74"/>
        <v/>
      </c>
      <c r="I44" s="90">
        <v>9</v>
      </c>
      <c r="J44" s="54" t="str">
        <f t="shared" si="75"/>
        <v/>
      </c>
      <c r="K44" s="273" t="str">
        <f t="shared" si="76"/>
        <v/>
      </c>
      <c r="L44" s="273" t="str">
        <f t="shared" si="77"/>
        <v/>
      </c>
      <c r="M44" s="273" t="str">
        <f t="shared" si="78"/>
        <v/>
      </c>
      <c r="N44" s="273" t="str">
        <f t="shared" si="79"/>
        <v/>
      </c>
      <c r="O44" s="54" t="str">
        <f t="shared" si="80"/>
        <v/>
      </c>
      <c r="P44" s="274" t="str">
        <f t="shared" si="81"/>
        <v/>
      </c>
      <c r="Q44" s="118" t="str">
        <f t="shared" si="82"/>
        <v/>
      </c>
      <c r="R44" s="102" t="str">
        <f t="shared" si="83"/>
        <v/>
      </c>
    </row>
    <row r="45" spans="1:52">
      <c r="B45" s="4"/>
      <c r="C45" s="37"/>
      <c r="D45" s="37"/>
      <c r="E45" s="37"/>
      <c r="F45" s="275"/>
      <c r="G45" s="275"/>
      <c r="H45" s="9"/>
    </row>
    <row r="46" spans="1:52">
      <c r="B46" s="32" t="s">
        <v>194</v>
      </c>
      <c r="C46" s="35">
        <f>COUNTA(C6:C17,C20:C27,C30:C33)</f>
        <v>6</v>
      </c>
      <c r="D46" s="287">
        <f>C46/$C$48</f>
        <v>0.54545454545454541</v>
      </c>
      <c r="E46" s="37"/>
      <c r="F46" s="275"/>
      <c r="G46" s="275"/>
      <c r="H46" s="9"/>
    </row>
    <row r="47" spans="1:52">
      <c r="B47" s="36" t="s">
        <v>195</v>
      </c>
      <c r="C47" s="38">
        <f>COUNTA(C51:C56,C59:C60,C63:C72)</f>
        <v>5</v>
      </c>
      <c r="D47" s="287">
        <f>C47/$C$48</f>
        <v>0.45454545454545453</v>
      </c>
      <c r="E47" s="37"/>
      <c r="F47" s="275"/>
      <c r="G47" s="275"/>
      <c r="H47" s="9"/>
    </row>
    <row r="48" spans="1:52">
      <c r="B48" s="39" t="s">
        <v>196</v>
      </c>
      <c r="C48" s="42">
        <f>C46+C47</f>
        <v>11</v>
      </c>
      <c r="D48" s="37"/>
      <c r="E48" s="37"/>
      <c r="F48" s="275"/>
      <c r="G48" s="275"/>
      <c r="H48" s="9"/>
    </row>
    <row r="49" spans="1:33">
      <c r="I49">
        <v>6</v>
      </c>
      <c r="K49">
        <v>11</v>
      </c>
      <c r="L49">
        <v>12</v>
      </c>
      <c r="M49">
        <v>13</v>
      </c>
      <c r="N49">
        <v>17</v>
      </c>
      <c r="O49">
        <f>N49+2</f>
        <v>19</v>
      </c>
      <c r="P49">
        <f t="shared" ref="P49:Y49" si="86">O49+2</f>
        <v>21</v>
      </c>
      <c r="Q49">
        <f t="shared" si="86"/>
        <v>23</v>
      </c>
      <c r="R49">
        <f t="shared" si="86"/>
        <v>25</v>
      </c>
      <c r="S49">
        <f t="shared" si="86"/>
        <v>27</v>
      </c>
      <c r="T49">
        <f t="shared" si="86"/>
        <v>29</v>
      </c>
      <c r="U49">
        <f t="shared" si="86"/>
        <v>31</v>
      </c>
      <c r="V49">
        <f t="shared" si="86"/>
        <v>33</v>
      </c>
      <c r="W49">
        <f t="shared" si="86"/>
        <v>35</v>
      </c>
      <c r="X49">
        <f t="shared" si="86"/>
        <v>37</v>
      </c>
      <c r="Y49">
        <f t="shared" si="86"/>
        <v>39</v>
      </c>
      <c r="Z49">
        <v>41</v>
      </c>
      <c r="AA49">
        <v>42</v>
      </c>
      <c r="AB49">
        <v>43</v>
      </c>
      <c r="AC49">
        <v>46</v>
      </c>
      <c r="AD49">
        <v>14</v>
      </c>
      <c r="AE49">
        <v>15</v>
      </c>
      <c r="AF49">
        <v>16</v>
      </c>
      <c r="AG49">
        <v>48</v>
      </c>
    </row>
    <row r="50" spans="1:33" s="275" customFormat="1" ht="74.25">
      <c r="A50" s="73" t="s">
        <v>193</v>
      </c>
      <c r="B50" s="270" t="s">
        <v>126</v>
      </c>
      <c r="C50" s="44" t="s">
        <v>118</v>
      </c>
      <c r="D50" s="44" t="s">
        <v>91</v>
      </c>
      <c r="E50" s="50" t="s">
        <v>102</v>
      </c>
      <c r="F50" s="46" t="s">
        <v>183</v>
      </c>
      <c r="G50" s="46" t="s">
        <v>184</v>
      </c>
      <c r="H50" s="46" t="s">
        <v>185</v>
      </c>
      <c r="I50" s="76" t="s">
        <v>212</v>
      </c>
      <c r="J50" s="76" t="s">
        <v>189</v>
      </c>
      <c r="K50" s="74" t="s">
        <v>186</v>
      </c>
      <c r="L50" s="74" t="s">
        <v>187</v>
      </c>
      <c r="M50" s="75" t="s">
        <v>188</v>
      </c>
      <c r="N50" s="74" t="s">
        <v>60</v>
      </c>
      <c r="O50" s="74" t="s">
        <v>62</v>
      </c>
      <c r="P50" s="74" t="s">
        <v>64</v>
      </c>
      <c r="Q50" s="74" t="s">
        <v>66</v>
      </c>
      <c r="R50" s="74" t="s">
        <v>68</v>
      </c>
      <c r="S50" s="74" t="s">
        <v>108</v>
      </c>
      <c r="T50" s="74" t="s">
        <v>71</v>
      </c>
      <c r="U50" s="74" t="s">
        <v>73</v>
      </c>
      <c r="V50" s="74" t="s">
        <v>75</v>
      </c>
      <c r="W50" s="74" t="s">
        <v>77</v>
      </c>
      <c r="X50" s="74" t="s">
        <v>79</v>
      </c>
      <c r="Y50" s="75" t="s">
        <v>81</v>
      </c>
      <c r="Z50" s="79" t="s">
        <v>199</v>
      </c>
      <c r="AA50" s="74" t="s">
        <v>198</v>
      </c>
      <c r="AB50" s="75" t="s">
        <v>200</v>
      </c>
      <c r="AC50" s="288" t="s">
        <v>537</v>
      </c>
      <c r="AD50" s="74" t="s">
        <v>186</v>
      </c>
      <c r="AE50" s="74" t="s">
        <v>187</v>
      </c>
      <c r="AF50" s="75" t="s">
        <v>188</v>
      </c>
      <c r="AG50" s="288" t="s">
        <v>197</v>
      </c>
    </row>
    <row r="51" spans="1:33">
      <c r="A51" s="275">
        <v>1</v>
      </c>
      <c r="B51" s="36" t="s">
        <v>108</v>
      </c>
      <c r="C51" s="275" t="s">
        <v>54</v>
      </c>
      <c r="D51" s="37">
        <f>IF($C51="","",VLOOKUP($C51,CTPit!$E$10:$BG$214,D$4,FALSE))</f>
        <v>23</v>
      </c>
      <c r="E51" s="38" t="str">
        <f>IF($C51="","",VLOOKUP($C51,CTPit!$E$10:$BG$214,E$4+1,FALSE))</f>
        <v>L</v>
      </c>
      <c r="F51" s="275">
        <f>IF($C51="","",IF(AG51&gt;7,1,0))</f>
        <v>0</v>
      </c>
      <c r="G51" s="275">
        <f>IF($C51="","",IF(AG51&gt;6.5,1,0))</f>
        <v>0</v>
      </c>
      <c r="H51" s="275">
        <f>IF($C51="","",IF(AG51&gt;6,1,0))</f>
        <v>1</v>
      </c>
      <c r="I51" s="98" t="str">
        <f>IF($C51="","",VLOOKUP($C51,CTPit!$E$10:$BG$172,I$49,FALSE))</f>
        <v>L</v>
      </c>
      <c r="J51" s="77">
        <f t="shared" ref="J51:J56" si="87">IF($C51="","",COUNT(N51:Y51))</f>
        <v>2</v>
      </c>
      <c r="K51" s="275">
        <f>IF($C51="","",VLOOKUP($C51,CTPit!$E$10:$BG$172,K$49,FALSE))</f>
        <v>10</v>
      </c>
      <c r="L51" s="275">
        <f>IF($C51="","",VLOOKUP($C51,CTPit!$E$10:$BG$172,L$49,FALSE))</f>
        <v>4</v>
      </c>
      <c r="M51" s="276">
        <f>IF($C51="","",VLOOKUP($C51,CTPit!$E$10:$BG$172,M$49,FALSE))</f>
        <v>3</v>
      </c>
      <c r="N51" s="275">
        <f>IF($C51="","",VLOOKUP($C51,CTPit!$E$10:$BG$172,N$49,FALSE))</f>
        <v>10</v>
      </c>
      <c r="O51" s="275" t="str">
        <f>IF($C51="","",VLOOKUP($C51,CTPit!$E$10:$BG$172,O$49,FALSE))</f>
        <v>-</v>
      </c>
      <c r="P51" s="275" t="str">
        <f>IF($C51="","",VLOOKUP($C51,CTPit!$E$10:$BG$172,P$49,FALSE))</f>
        <v>-</v>
      </c>
      <c r="Q51" s="275">
        <f>IF($C51="","",VLOOKUP($C51,CTPit!$E$10:$BG$172,Q$49,FALSE))</f>
        <v>10</v>
      </c>
      <c r="R51" s="275" t="str">
        <f>IF($C51="","",VLOOKUP($C51,CTPit!$E$10:$BG$172,R$49,FALSE))</f>
        <v>-</v>
      </c>
      <c r="S51" s="275" t="str">
        <f>IF($C51="","",VLOOKUP($C51,CTPit!$E$10:$BG$172,S$49,FALSE))</f>
        <v>-</v>
      </c>
      <c r="T51" s="275" t="str">
        <f>IF($C51="","",VLOOKUP($C51,CTPit!$E$10:$BG$172,T$49,FALSE))</f>
        <v>-</v>
      </c>
      <c r="U51" s="275" t="str">
        <f>IF($C51="","",VLOOKUP($C51,CTPit!$E$10:$BG$172,U$49,FALSE))</f>
        <v>-</v>
      </c>
      <c r="V51" s="275" t="str">
        <f>IF($C51="","",VLOOKUP($C51,CTPit!$E$10:$BG$172,V$49,FALSE))</f>
        <v>-</v>
      </c>
      <c r="W51" s="275" t="str">
        <f>IF($C51="","",VLOOKUP($C51,CTPit!$E$10:$BG$172,W$49,FALSE))</f>
        <v>-</v>
      </c>
      <c r="X51" s="275" t="str">
        <f>IF($C51="","",VLOOKUP($C51,CTPit!$E$10:$BG$172,X$49,FALSE))</f>
        <v>-</v>
      </c>
      <c r="Y51" s="276" t="str">
        <f>IF($C51="","",VLOOKUP($C51,CTPit!$E$10:$BG$172,Y$49,FALSE))</f>
        <v>-</v>
      </c>
      <c r="Z51" s="53" t="str">
        <f>IF($C51="","",VLOOKUP($C51,CTPit!$E$10:$BG$172,Z$49,FALSE))</f>
        <v>99-101 Mph</v>
      </c>
      <c r="AA51" s="275">
        <f>IF($C51="","",VLOOKUP($C51,CTPit!$E$10:$BG$172,AA$49,FALSE))</f>
        <v>6</v>
      </c>
      <c r="AB51" s="80">
        <f>IF($C51="","",VLOOKUP($C51,CTPit!$E$10:$BG$172,AB$49,FALSE))</f>
        <v>0.41</v>
      </c>
      <c r="AC51" s="289">
        <f>IF($C51="","",VLOOKUP($C51,CTPit!$E$10:$BG$172,AC$49,FALSE))</f>
        <v>5.916666666666667</v>
      </c>
      <c r="AD51" s="275">
        <f>IF($C51="","",VLOOKUP($C51,CTPit!$E$10:$BG$172,AD$49,FALSE))</f>
        <v>10</v>
      </c>
      <c r="AE51" s="275">
        <f>IF($C51="","",VLOOKUP($C51,CTPit!$E$10:$BG$172,AE$49,FALSE))</f>
        <v>4</v>
      </c>
      <c r="AF51" s="276">
        <f>IF($C51="","",VLOOKUP($C51,CTPit!$E$10:$BG$172,AF$49,FALSE))</f>
        <v>4</v>
      </c>
      <c r="AG51" s="289">
        <f>IF($C51="","",VLOOKUP($C51,CTPit!$E$10:$BG$172,AG$49,FALSE))</f>
        <v>6.25</v>
      </c>
    </row>
    <row r="52" spans="1:33">
      <c r="A52" s="275">
        <v>2</v>
      </c>
      <c r="B52" s="36" t="s">
        <v>108</v>
      </c>
      <c r="C52" s="37"/>
      <c r="D52" s="37" t="str">
        <f>IF($C52="","",VLOOKUP($C52,CTPit!$E$10:$BG$214,D$4,FALSE))</f>
        <v/>
      </c>
      <c r="E52" s="38" t="str">
        <f>IF($C52="","",VLOOKUP($C52,CTPit!$E$10:$BG$214,E$4+1,FALSE))</f>
        <v/>
      </c>
      <c r="F52" s="275" t="str">
        <f t="shared" ref="F52:F56" si="88">IF($C52="","",IF(AG52&gt;7,1,0))</f>
        <v/>
      </c>
      <c r="G52" s="275" t="str">
        <f t="shared" ref="G52:G56" si="89">IF($C52="","",IF(AG52&gt;6.5,1,0))</f>
        <v/>
      </c>
      <c r="H52" s="275" t="str">
        <f t="shared" ref="H52:H56" si="90">IF($C52="","",IF(AG52&gt;6,1,0))</f>
        <v/>
      </c>
      <c r="I52" s="99" t="str">
        <f>IF($C52="","",VLOOKUP($C52,CTPit!$E$10:$BG$172,I$49,FALSE))</f>
        <v/>
      </c>
      <c r="J52" s="77" t="str">
        <f t="shared" si="87"/>
        <v/>
      </c>
      <c r="K52" s="275" t="str">
        <f>IF($C52="","",VLOOKUP($C52,CTPit!$E$10:$BG$172,K$49,FALSE))</f>
        <v/>
      </c>
      <c r="L52" s="275" t="str">
        <f>IF($C52="","",VLOOKUP($C52,CTPit!$E$10:$BG$172,L$49,FALSE))</f>
        <v/>
      </c>
      <c r="M52" s="276" t="str">
        <f>IF($C52="","",VLOOKUP($C52,CTPit!$E$10:$BG$172,M$49,FALSE))</f>
        <v/>
      </c>
      <c r="N52" s="275" t="str">
        <f>IF($C52="","",VLOOKUP($C52,CTPit!$E$10:$BG$172,N$49,FALSE))</f>
        <v/>
      </c>
      <c r="O52" s="275" t="str">
        <f>IF($C52="","",VLOOKUP($C52,CTPit!$E$10:$BG$172,O$49,FALSE))</f>
        <v/>
      </c>
      <c r="P52" s="275" t="str">
        <f>IF($C52="","",VLOOKUP($C52,CTPit!$E$10:$BG$172,P$49,FALSE))</f>
        <v/>
      </c>
      <c r="Q52" s="275" t="str">
        <f>IF($C52="","",VLOOKUP($C52,CTPit!$E$10:$BG$172,Q$49,FALSE))</f>
        <v/>
      </c>
      <c r="R52" s="275" t="str">
        <f>IF($C52="","",VLOOKUP($C52,CTPit!$E$10:$BG$172,R$49,FALSE))</f>
        <v/>
      </c>
      <c r="S52" s="275" t="str">
        <f>IF($C52="","",VLOOKUP($C52,CTPit!$E$10:$BG$172,S$49,FALSE))</f>
        <v/>
      </c>
      <c r="T52" s="275" t="str">
        <f>IF($C52="","",VLOOKUP($C52,CTPit!$E$10:$BG$172,T$49,FALSE))</f>
        <v/>
      </c>
      <c r="U52" s="275" t="str">
        <f>IF($C52="","",VLOOKUP($C52,CTPit!$E$10:$BG$172,U$49,FALSE))</f>
        <v/>
      </c>
      <c r="V52" s="275" t="str">
        <f>IF($C52="","",VLOOKUP($C52,CTPit!$E$10:$BG$172,V$49,FALSE))</f>
        <v/>
      </c>
      <c r="W52" s="275" t="str">
        <f>IF($C52="","",VLOOKUP($C52,CTPit!$E$10:$BG$172,W$49,FALSE))</f>
        <v/>
      </c>
      <c r="X52" s="275" t="str">
        <f>IF($C52="","",VLOOKUP($C52,CTPit!$E$10:$BG$172,X$49,FALSE))</f>
        <v/>
      </c>
      <c r="Y52" s="276" t="str">
        <f>IF($C52="","",VLOOKUP($C52,CTPit!$E$10:$BG$172,Y$49,FALSE))</f>
        <v/>
      </c>
      <c r="Z52" s="53" t="str">
        <f>IF($C52="","",VLOOKUP($C52,CTPit!$E$10:$BG$172,Z$49,FALSE))</f>
        <v/>
      </c>
      <c r="AA52" s="275" t="str">
        <f>IF($C52="","",VLOOKUP($C52,CTPit!$E$10:$BG$172,AA$49,FALSE))</f>
        <v/>
      </c>
      <c r="AB52" s="80" t="str">
        <f>IF($C52="","",VLOOKUP($C52,CTPit!$E$10:$BG$172,AB$49,FALSE))</f>
        <v/>
      </c>
      <c r="AC52" s="67" t="str">
        <f>IF($C52="","",VLOOKUP($C52,CTPit!$E$10:$BG$172,AC$49,FALSE))</f>
        <v/>
      </c>
      <c r="AD52" s="275" t="str">
        <f>IF($C52="","",VLOOKUP($C52,CTPit!$E$10:$BG$172,AD$49,FALSE))</f>
        <v/>
      </c>
      <c r="AE52" s="275" t="str">
        <f>IF($C52="","",VLOOKUP($C52,CTPit!$E$10:$BG$172,AE$49,FALSE))</f>
        <v/>
      </c>
      <c r="AF52" s="276" t="str">
        <f>IF($C52="","",VLOOKUP($C52,CTPit!$E$10:$BG$172,AF$49,FALSE))</f>
        <v/>
      </c>
      <c r="AG52" s="67" t="str">
        <f>IF($C52="","",VLOOKUP($C52,CTPit!$E$10:$BG$172,AG$49,FALSE))</f>
        <v/>
      </c>
    </row>
    <row r="53" spans="1:33">
      <c r="A53" s="275">
        <v>3</v>
      </c>
      <c r="B53" s="36" t="s">
        <v>108</v>
      </c>
      <c r="C53" s="65"/>
      <c r="D53" s="37" t="str">
        <f>IF($C53="","",VLOOKUP($C53,CTPit!$E$10:$BG$214,D$4,FALSE))</f>
        <v/>
      </c>
      <c r="E53" s="38" t="str">
        <f>IF($C53="","",VLOOKUP($C53,CTPit!$E$10:$BG$214,E$4+1,FALSE))</f>
        <v/>
      </c>
      <c r="F53" s="275" t="str">
        <f t="shared" si="88"/>
        <v/>
      </c>
      <c r="G53" s="275" t="str">
        <f t="shared" si="89"/>
        <v/>
      </c>
      <c r="H53" s="275" t="str">
        <f t="shared" si="90"/>
        <v/>
      </c>
      <c r="I53" s="99" t="str">
        <f>IF($C53="","",VLOOKUP($C53,CTPit!$E$10:$BG$172,I$49,FALSE))</f>
        <v/>
      </c>
      <c r="J53" s="77" t="str">
        <f t="shared" si="87"/>
        <v/>
      </c>
      <c r="K53" s="275" t="str">
        <f>IF($C53="","",VLOOKUP($C53,CTPit!$E$10:$BG$172,K$49,FALSE))</f>
        <v/>
      </c>
      <c r="L53" s="275" t="str">
        <f>IF($C53="","",VLOOKUP($C53,CTPit!$E$10:$BG$172,L$49,FALSE))</f>
        <v/>
      </c>
      <c r="M53" s="276" t="str">
        <f>IF($C53="","",VLOOKUP($C53,CTPit!$E$10:$BG$172,M$49,FALSE))</f>
        <v/>
      </c>
      <c r="N53" s="275" t="str">
        <f>IF($C53="","",VLOOKUP($C53,CTPit!$E$10:$BG$172,N$49,FALSE))</f>
        <v/>
      </c>
      <c r="O53" s="275" t="str">
        <f>IF($C53="","",VLOOKUP($C53,CTPit!$E$10:$BG$172,O$49,FALSE))</f>
        <v/>
      </c>
      <c r="P53" s="275" t="str">
        <f>IF($C53="","",VLOOKUP($C53,CTPit!$E$10:$BG$172,P$49,FALSE))</f>
        <v/>
      </c>
      <c r="Q53" s="275" t="str">
        <f>IF($C53="","",VLOOKUP($C53,CTPit!$E$10:$BG$172,Q$49,FALSE))</f>
        <v/>
      </c>
      <c r="R53" s="275" t="str">
        <f>IF($C53="","",VLOOKUP($C53,CTPit!$E$10:$BG$172,R$49,FALSE))</f>
        <v/>
      </c>
      <c r="S53" s="275" t="str">
        <f>IF($C53="","",VLOOKUP($C53,CTPit!$E$10:$BG$172,S$49,FALSE))</f>
        <v/>
      </c>
      <c r="T53" s="275" t="str">
        <f>IF($C53="","",VLOOKUP($C53,CTPit!$E$10:$BG$172,T$49,FALSE))</f>
        <v/>
      </c>
      <c r="U53" s="275" t="str">
        <f>IF($C53="","",VLOOKUP($C53,CTPit!$E$10:$BG$172,U$49,FALSE))</f>
        <v/>
      </c>
      <c r="V53" s="275" t="str">
        <f>IF($C53="","",VLOOKUP($C53,CTPit!$E$10:$BG$172,V$49,FALSE))</f>
        <v/>
      </c>
      <c r="W53" s="275" t="str">
        <f>IF($C53="","",VLOOKUP($C53,CTPit!$E$10:$BG$172,W$49,FALSE))</f>
        <v/>
      </c>
      <c r="X53" s="275" t="str">
        <f>IF($C53="","",VLOOKUP($C53,CTPit!$E$10:$BG$172,X$49,FALSE))</f>
        <v/>
      </c>
      <c r="Y53" s="276" t="str">
        <f>IF($C53="","",VLOOKUP($C53,CTPit!$E$10:$BG$172,Y$49,FALSE))</f>
        <v/>
      </c>
      <c r="Z53" s="53" t="str">
        <f>IF($C53="","",VLOOKUP($C53,CTPit!$E$10:$BG$172,Z$49,FALSE))</f>
        <v/>
      </c>
      <c r="AA53" s="275" t="str">
        <f>IF($C53="","",VLOOKUP($C53,CTPit!$E$10:$BG$172,AA$49,FALSE))</f>
        <v/>
      </c>
      <c r="AB53" s="80" t="str">
        <f>IF($C53="","",VLOOKUP($C53,CTPit!$E$10:$BG$172,AB$49,FALSE))</f>
        <v/>
      </c>
      <c r="AC53" s="67" t="str">
        <f>IF($C53="","",VLOOKUP($C53,CTPit!$E$10:$BG$172,AC$49,FALSE))</f>
        <v/>
      </c>
      <c r="AD53" s="275" t="str">
        <f>IF($C53="","",VLOOKUP($C53,CTPit!$E$10:$BG$172,AD$49,FALSE))</f>
        <v/>
      </c>
      <c r="AE53" s="275" t="str">
        <f>IF($C53="","",VLOOKUP($C53,CTPit!$E$10:$BG$172,AE$49,FALSE))</f>
        <v/>
      </c>
      <c r="AF53" s="276" t="str">
        <f>IF($C53="","",VLOOKUP($C53,CTPit!$E$10:$BG$172,AF$49,FALSE))</f>
        <v/>
      </c>
      <c r="AG53" s="67" t="str">
        <f>IF($C53="","",VLOOKUP($C53,CTPit!$E$10:$BG$172,AG$49,FALSE))</f>
        <v/>
      </c>
    </row>
    <row r="54" spans="1:33">
      <c r="A54" s="275">
        <v>4</v>
      </c>
      <c r="B54" s="36" t="s">
        <v>108</v>
      </c>
      <c r="C54" s="65"/>
      <c r="D54" s="37" t="str">
        <f>IF($C54="","",VLOOKUP($C54,CTPit!$E$10:$BG$214,D$4,FALSE))</f>
        <v/>
      </c>
      <c r="E54" s="38" t="str">
        <f>IF($C54="","",VLOOKUP($C54,CTPit!$E$10:$BG$214,E$4+1,FALSE))</f>
        <v/>
      </c>
      <c r="F54" s="275" t="str">
        <f t="shared" si="88"/>
        <v/>
      </c>
      <c r="G54" s="275" t="str">
        <f t="shared" si="89"/>
        <v/>
      </c>
      <c r="H54" s="275" t="str">
        <f t="shared" si="90"/>
        <v/>
      </c>
      <c r="I54" s="99" t="str">
        <f>IF($C54="","",VLOOKUP($C54,CTPit!$E$10:$BG$172,I$49,FALSE))</f>
        <v/>
      </c>
      <c r="J54" s="77" t="str">
        <f t="shared" si="87"/>
        <v/>
      </c>
      <c r="K54" s="275" t="str">
        <f>IF($C54="","",VLOOKUP($C54,CTPit!$E$10:$BG$172,K$49,FALSE))</f>
        <v/>
      </c>
      <c r="L54" s="275" t="str">
        <f>IF($C54="","",VLOOKUP($C54,CTPit!$E$10:$BG$172,L$49,FALSE))</f>
        <v/>
      </c>
      <c r="M54" s="276" t="str">
        <f>IF($C54="","",VLOOKUP($C54,CTPit!$E$10:$BG$172,M$49,FALSE))</f>
        <v/>
      </c>
      <c r="N54" s="275" t="str">
        <f>IF($C54="","",VLOOKUP($C54,CTPit!$E$10:$BG$172,N$49,FALSE))</f>
        <v/>
      </c>
      <c r="O54" s="275" t="str">
        <f>IF($C54="","",VLOOKUP($C54,CTPit!$E$10:$BG$172,O$49,FALSE))</f>
        <v/>
      </c>
      <c r="P54" s="275" t="str">
        <f>IF($C54="","",VLOOKUP($C54,CTPit!$E$10:$BG$172,P$49,FALSE))</f>
        <v/>
      </c>
      <c r="Q54" s="275" t="str">
        <f>IF($C54="","",VLOOKUP($C54,CTPit!$E$10:$BG$172,Q$49,FALSE))</f>
        <v/>
      </c>
      <c r="R54" s="275" t="str">
        <f>IF($C54="","",VLOOKUP($C54,CTPit!$E$10:$BG$172,R$49,FALSE))</f>
        <v/>
      </c>
      <c r="S54" s="275" t="str">
        <f>IF($C54="","",VLOOKUP($C54,CTPit!$E$10:$BG$172,S$49,FALSE))</f>
        <v/>
      </c>
      <c r="T54" s="275" t="str">
        <f>IF($C54="","",VLOOKUP($C54,CTPit!$E$10:$BG$172,T$49,FALSE))</f>
        <v/>
      </c>
      <c r="U54" s="275" t="str">
        <f>IF($C54="","",VLOOKUP($C54,CTPit!$E$10:$BG$172,U$49,FALSE))</f>
        <v/>
      </c>
      <c r="V54" s="275" t="str">
        <f>IF($C54="","",VLOOKUP($C54,CTPit!$E$10:$BG$172,V$49,FALSE))</f>
        <v/>
      </c>
      <c r="W54" s="275" t="str">
        <f>IF($C54="","",VLOOKUP($C54,CTPit!$E$10:$BG$172,W$49,FALSE))</f>
        <v/>
      </c>
      <c r="X54" s="275" t="str">
        <f>IF($C54="","",VLOOKUP($C54,CTPit!$E$10:$BG$172,X$49,FALSE))</f>
        <v/>
      </c>
      <c r="Y54" s="276" t="str">
        <f>IF($C54="","",VLOOKUP($C54,CTPit!$E$10:$BG$172,Y$49,FALSE))</f>
        <v/>
      </c>
      <c r="Z54" s="53" t="str">
        <f>IF($C54="","",VLOOKUP($C54,CTPit!$E$10:$BG$172,Z$49,FALSE))</f>
        <v/>
      </c>
      <c r="AA54" s="275" t="str">
        <f>IF($C54="","",VLOOKUP($C54,CTPit!$E$10:$BG$172,AA$49,FALSE))</f>
        <v/>
      </c>
      <c r="AB54" s="80" t="str">
        <f>IF($C54="","",VLOOKUP($C54,CTPit!$E$10:$BG$172,AB$49,FALSE))</f>
        <v/>
      </c>
      <c r="AC54" s="67" t="str">
        <f>IF($C54="","",VLOOKUP($C54,CTPit!$E$10:$BG$172,AC$49,FALSE))</f>
        <v/>
      </c>
      <c r="AD54" s="275" t="str">
        <f>IF($C54="","",VLOOKUP($C54,CTPit!$E$10:$BG$172,AD$49,FALSE))</f>
        <v/>
      </c>
      <c r="AE54" s="275" t="str">
        <f>IF($C54="","",VLOOKUP($C54,CTPit!$E$10:$BG$172,AE$49,FALSE))</f>
        <v/>
      </c>
      <c r="AF54" s="276" t="str">
        <f>IF($C54="","",VLOOKUP($C54,CTPit!$E$10:$BG$172,AF$49,FALSE))</f>
        <v/>
      </c>
      <c r="AG54" s="67" t="str">
        <f>IF($C54="","",VLOOKUP($C54,CTPit!$E$10:$BG$172,AG$49,FALSE))</f>
        <v/>
      </c>
    </row>
    <row r="55" spans="1:33">
      <c r="A55" s="275">
        <v>5</v>
      </c>
      <c r="B55" s="36" t="s">
        <v>108</v>
      </c>
      <c r="C55" s="65"/>
      <c r="D55" s="37" t="str">
        <f>IF($C55="","",VLOOKUP($C55,CTPit!$E$10:$BG$214,D$4,FALSE))</f>
        <v/>
      </c>
      <c r="E55" s="38" t="str">
        <f>IF($C55="","",VLOOKUP($C55,CTPit!$E$10:$BG$214,E$4+1,FALSE))</f>
        <v/>
      </c>
      <c r="F55" s="275" t="str">
        <f t="shared" si="88"/>
        <v/>
      </c>
      <c r="G55" s="275" t="str">
        <f t="shared" si="89"/>
        <v/>
      </c>
      <c r="H55" s="275" t="str">
        <f t="shared" si="90"/>
        <v/>
      </c>
      <c r="I55" s="99" t="str">
        <f>IF($C55="","",VLOOKUP($C55,CTPit!$E$10:$BG$172,I$49,FALSE))</f>
        <v/>
      </c>
      <c r="J55" s="77" t="str">
        <f t="shared" si="87"/>
        <v/>
      </c>
      <c r="K55" s="275" t="str">
        <f>IF($C55="","",VLOOKUP($C55,CTPit!$E$10:$BG$172,K$49,FALSE))</f>
        <v/>
      </c>
      <c r="L55" s="275" t="str">
        <f>IF($C55="","",VLOOKUP($C55,CTPit!$E$10:$BG$172,L$49,FALSE))</f>
        <v/>
      </c>
      <c r="M55" s="276" t="str">
        <f>IF($C55="","",VLOOKUP($C55,CTPit!$E$10:$BG$172,M$49,FALSE))</f>
        <v/>
      </c>
      <c r="N55" s="275" t="str">
        <f>IF($C55="","",VLOOKUP($C55,CTPit!$E$10:$BG$172,N$49,FALSE))</f>
        <v/>
      </c>
      <c r="O55" s="275" t="str">
        <f>IF($C55="","",VLOOKUP($C55,CTPit!$E$10:$BG$172,O$49,FALSE))</f>
        <v/>
      </c>
      <c r="P55" s="275" t="str">
        <f>IF($C55="","",VLOOKUP($C55,CTPit!$E$10:$BG$172,P$49,FALSE))</f>
        <v/>
      </c>
      <c r="Q55" s="275" t="str">
        <f>IF($C55="","",VLOOKUP($C55,CTPit!$E$10:$BG$172,Q$49,FALSE))</f>
        <v/>
      </c>
      <c r="R55" s="275" t="str">
        <f>IF($C55="","",VLOOKUP($C55,CTPit!$E$10:$BG$172,R$49,FALSE))</f>
        <v/>
      </c>
      <c r="S55" s="275" t="str">
        <f>IF($C55="","",VLOOKUP($C55,CTPit!$E$10:$BG$172,S$49,FALSE))</f>
        <v/>
      </c>
      <c r="T55" s="275" t="str">
        <f>IF($C55="","",VLOOKUP($C55,CTPit!$E$10:$BG$172,T$49,FALSE))</f>
        <v/>
      </c>
      <c r="U55" s="275" t="str">
        <f>IF($C55="","",VLOOKUP($C55,CTPit!$E$10:$BG$172,U$49,FALSE))</f>
        <v/>
      </c>
      <c r="V55" s="275" t="str">
        <f>IF($C55="","",VLOOKUP($C55,CTPit!$E$10:$BG$172,V$49,FALSE))</f>
        <v/>
      </c>
      <c r="W55" s="275" t="str">
        <f>IF($C55="","",VLOOKUP($C55,CTPit!$E$10:$BG$172,W$49,FALSE))</f>
        <v/>
      </c>
      <c r="X55" s="275" t="str">
        <f>IF($C55="","",VLOOKUP($C55,CTPit!$E$10:$BG$172,X$49,FALSE))</f>
        <v/>
      </c>
      <c r="Y55" s="276" t="str">
        <f>IF($C55="","",VLOOKUP($C55,CTPit!$E$10:$BG$172,Y$49,FALSE))</f>
        <v/>
      </c>
      <c r="Z55" s="53" t="str">
        <f>IF($C55="","",VLOOKUP($C55,CTPit!$E$10:$BG$172,Z$49,FALSE))</f>
        <v/>
      </c>
      <c r="AA55" s="275" t="str">
        <f>IF($C55="","",VLOOKUP($C55,CTPit!$E$10:$BG$172,AA$49,FALSE))</f>
        <v/>
      </c>
      <c r="AB55" s="80" t="str">
        <f>IF($C55="","",VLOOKUP($C55,CTPit!$E$10:$BG$172,AB$49,FALSE))</f>
        <v/>
      </c>
      <c r="AC55" s="67" t="str">
        <f>IF($C55="","",VLOOKUP($C55,CTPit!$E$10:$BG$172,AC$49,FALSE))</f>
        <v/>
      </c>
      <c r="AD55" s="275" t="str">
        <f>IF($C55="","",VLOOKUP($C55,CTPit!$E$10:$BG$172,AD$49,FALSE))</f>
        <v/>
      </c>
      <c r="AE55" s="275" t="str">
        <f>IF($C55="","",VLOOKUP($C55,CTPit!$E$10:$BG$172,AE$49,FALSE))</f>
        <v/>
      </c>
      <c r="AF55" s="276" t="str">
        <f>IF($C55="","",VLOOKUP($C55,CTPit!$E$10:$BG$172,AF$49,FALSE))</f>
        <v/>
      </c>
      <c r="AG55" s="67" t="str">
        <f>IF($C55="","",VLOOKUP($C55,CTPit!$E$10:$BG$172,AG$49,FALSE))</f>
        <v/>
      </c>
    </row>
    <row r="56" spans="1:33">
      <c r="A56" s="275">
        <v>6</v>
      </c>
      <c r="B56" s="39" t="s">
        <v>127</v>
      </c>
      <c r="C56" s="273"/>
      <c r="D56" s="40" t="str">
        <f>IF($C56="","",VLOOKUP($C56,CTPit!$E$10:$BG$214,D$4,FALSE))</f>
        <v/>
      </c>
      <c r="E56" s="42" t="str">
        <f>IF($C56="","",VLOOKUP($C56,CTPit!$E$10:$BG$214,E$4+1,FALSE))</f>
        <v/>
      </c>
      <c r="F56" s="273" t="str">
        <f t="shared" si="88"/>
        <v/>
      </c>
      <c r="G56" s="273" t="str">
        <f t="shared" si="89"/>
        <v/>
      </c>
      <c r="H56" s="273" t="str">
        <f t="shared" si="90"/>
        <v/>
      </c>
      <c r="I56" s="100" t="str">
        <f>IF($C56="","",VLOOKUP($C56,CTPit!$E$10:$BG$172,I$49,FALSE))</f>
        <v/>
      </c>
      <c r="J56" s="78" t="str">
        <f t="shared" si="87"/>
        <v/>
      </c>
      <c r="K56" s="273" t="str">
        <f>IF($C56="","",VLOOKUP($C56,CTPit!$E$10:$BG$172,K$49,FALSE))</f>
        <v/>
      </c>
      <c r="L56" s="273" t="str">
        <f>IF($C56="","",VLOOKUP($C56,CTPit!$E$10:$BG$172,L$49,FALSE))</f>
        <v/>
      </c>
      <c r="M56" s="274" t="str">
        <f>IF($C56="","",VLOOKUP($C56,CTPit!$E$10:$BG$172,M$49,FALSE))</f>
        <v/>
      </c>
      <c r="N56" s="273" t="str">
        <f>IF($C56="","",VLOOKUP($C56,CTPit!$E$10:$BG$172,N$49,FALSE))</f>
        <v/>
      </c>
      <c r="O56" s="273" t="str">
        <f>IF($C56="","",VLOOKUP($C56,CTPit!$E$10:$BG$172,O$49,FALSE))</f>
        <v/>
      </c>
      <c r="P56" s="273" t="str">
        <f>IF($C56="","",VLOOKUP($C56,CTPit!$E$10:$BG$172,P$49,FALSE))</f>
        <v/>
      </c>
      <c r="Q56" s="273" t="str">
        <f>IF($C56="","",VLOOKUP($C56,CTPit!$E$10:$BG$172,Q$49,FALSE))</f>
        <v/>
      </c>
      <c r="R56" s="273" t="str">
        <f>IF($C56="","",VLOOKUP($C56,CTPit!$E$10:$BG$172,R$49,FALSE))</f>
        <v/>
      </c>
      <c r="S56" s="273" t="str">
        <f>IF($C56="","",VLOOKUP($C56,CTPit!$E$10:$BG$172,S$49,FALSE))</f>
        <v/>
      </c>
      <c r="T56" s="273" t="str">
        <f>IF($C56="","",VLOOKUP($C56,CTPit!$E$10:$BG$172,T$49,FALSE))</f>
        <v/>
      </c>
      <c r="U56" s="273" t="str">
        <f>IF($C56="","",VLOOKUP($C56,CTPit!$E$10:$BG$172,U$49,FALSE))</f>
        <v/>
      </c>
      <c r="V56" s="273" t="str">
        <f>IF($C56="","",VLOOKUP($C56,CTPit!$E$10:$BG$172,V$49,FALSE))</f>
        <v/>
      </c>
      <c r="W56" s="273" t="str">
        <f>IF($C56="","",VLOOKUP($C56,CTPit!$E$10:$BG$172,W$49,FALSE))</f>
        <v/>
      </c>
      <c r="X56" s="273" t="str">
        <f>IF($C56="","",VLOOKUP($C56,CTPit!$E$10:$BG$172,X$49,FALSE))</f>
        <v/>
      </c>
      <c r="Y56" s="274" t="str">
        <f>IF($C56="","",VLOOKUP($C56,CTPit!$E$10:$BG$172,Y$49,FALSE))</f>
        <v/>
      </c>
      <c r="Z56" s="54" t="str">
        <f>IF($C56="","",VLOOKUP($C56,CTPit!$E$10:$BG$172,Z$49,FALSE))</f>
        <v/>
      </c>
      <c r="AA56" s="273" t="str">
        <f>IF($C56="","",VLOOKUP($C56,CTPit!$E$10:$BG$172,AA$49,FALSE))</f>
        <v/>
      </c>
      <c r="AB56" s="81" t="str">
        <f>IF($C56="","",VLOOKUP($C56,CTPit!$E$10:$BG$172,AB$49,FALSE))</f>
        <v/>
      </c>
      <c r="AC56" s="68" t="str">
        <f>IF($C56="","",VLOOKUP($C56,CTPit!$E$10:$BG$172,AC$49,FALSE))</f>
        <v/>
      </c>
      <c r="AD56" s="273" t="str">
        <f>IF($C56="","",VLOOKUP($C56,CTPit!$E$10:$BG$172,AD$49,FALSE))</f>
        <v/>
      </c>
      <c r="AE56" s="273" t="str">
        <f>IF($C56="","",VLOOKUP($C56,CTPit!$E$10:$BG$172,AE$49,FALSE))</f>
        <v/>
      </c>
      <c r="AF56" s="274" t="str">
        <f>IF($C56="","",VLOOKUP($C56,CTPit!$E$10:$BG$172,AF$49,FALSE))</f>
        <v/>
      </c>
      <c r="AG56" s="68" t="str">
        <f>IF($C56="","",VLOOKUP($C56,CTPit!$E$10:$BG$172,AG$49,FALSE))</f>
        <v/>
      </c>
    </row>
    <row r="57" spans="1:33">
      <c r="Z57" s="275"/>
      <c r="AA57" s="275"/>
      <c r="AB57" s="275"/>
    </row>
    <row r="58" spans="1:33" ht="57">
      <c r="A58" s="25" t="s">
        <v>193</v>
      </c>
      <c r="B58" s="270" t="s">
        <v>128</v>
      </c>
      <c r="C58" s="44" t="s">
        <v>118</v>
      </c>
      <c r="D58" s="44" t="s">
        <v>91</v>
      </c>
      <c r="E58" s="44" t="s">
        <v>102</v>
      </c>
      <c r="F58" s="55" t="s">
        <v>190</v>
      </c>
      <c r="G58" s="47" t="s">
        <v>191</v>
      </c>
      <c r="H58" s="56" t="s">
        <v>192</v>
      </c>
      <c r="I58" s="76" t="s">
        <v>212</v>
      </c>
      <c r="J58" s="47" t="s">
        <v>189</v>
      </c>
      <c r="K58" s="79" t="s">
        <v>186</v>
      </c>
      <c r="L58" s="74" t="s">
        <v>187</v>
      </c>
      <c r="M58" s="75" t="s">
        <v>188</v>
      </c>
      <c r="N58" s="74" t="s">
        <v>60</v>
      </c>
      <c r="O58" s="74" t="s">
        <v>62</v>
      </c>
      <c r="P58" s="74" t="s">
        <v>64</v>
      </c>
      <c r="Q58" s="74" t="s">
        <v>66</v>
      </c>
      <c r="R58" s="74" t="s">
        <v>68</v>
      </c>
      <c r="S58" s="74" t="s">
        <v>108</v>
      </c>
      <c r="T58" s="74" t="s">
        <v>71</v>
      </c>
      <c r="U58" s="74" t="s">
        <v>73</v>
      </c>
      <c r="V58" s="74" t="s">
        <v>75</v>
      </c>
      <c r="W58" s="74" t="s">
        <v>77</v>
      </c>
      <c r="X58" s="74" t="s">
        <v>79</v>
      </c>
      <c r="Y58" s="75" t="s">
        <v>81</v>
      </c>
      <c r="Z58" s="79" t="s">
        <v>199</v>
      </c>
      <c r="AA58" s="74" t="s">
        <v>198</v>
      </c>
      <c r="AB58" s="75" t="s">
        <v>200</v>
      </c>
      <c r="AC58" s="288" t="s">
        <v>537</v>
      </c>
      <c r="AD58" s="74" t="s">
        <v>186</v>
      </c>
      <c r="AE58" s="74" t="s">
        <v>187</v>
      </c>
      <c r="AF58" s="75" t="s">
        <v>188</v>
      </c>
      <c r="AG58" s="288" t="s">
        <v>197</v>
      </c>
    </row>
    <row r="59" spans="1:33">
      <c r="A59">
        <v>1</v>
      </c>
      <c r="B59" s="36" t="s">
        <v>109</v>
      </c>
      <c r="C59" s="37" t="s">
        <v>472</v>
      </c>
      <c r="D59" s="37">
        <f>IF($C59="","",VLOOKUP($C59,CTPit!$E$10:$BG$214,D$4,FALSE))</f>
        <v>23</v>
      </c>
      <c r="E59" s="37" t="str">
        <f>IF($C59="","",VLOOKUP($C59,CTPit!$E$10:$BG$214,E$4+1,FALSE))</f>
        <v>L</v>
      </c>
      <c r="F59" s="53">
        <f t="shared" ref="F59:F60" si="91">IF($C59="","",IF(AG59&gt;7,1,0))</f>
        <v>0</v>
      </c>
      <c r="G59" s="275">
        <f t="shared" ref="G59:G60" si="92">IF($C59="","",IF(AG59&gt;6.5,1,0))</f>
        <v>1</v>
      </c>
      <c r="H59" s="276">
        <f t="shared" ref="H59:H60" si="93">IF($C59="","",IF(AG59&gt;6,1,0))</f>
        <v>1</v>
      </c>
      <c r="I59" s="98" t="str">
        <f>IF($C59="","",VLOOKUP($C59,CTPit!$E$10:$BG$172,I$49,FALSE))</f>
        <v>L</v>
      </c>
      <c r="J59" s="275">
        <f>IF($C59="","",COUNT(N59:Y59))</f>
        <v>2</v>
      </c>
      <c r="K59" s="53">
        <f>IF($C59="","",VLOOKUP($C59,CTPit!$E$10:$BG$172,K$49,FALSE))</f>
        <v>6</v>
      </c>
      <c r="L59" s="275">
        <f>IF($C59="","",VLOOKUP($C59,CTPit!$E$10:$BG$172,L$49,FALSE))</f>
        <v>6</v>
      </c>
      <c r="M59" s="276">
        <f>IF($C59="","",VLOOKUP($C59,CTPit!$E$10:$BG$172,M$49,FALSE))</f>
        <v>5</v>
      </c>
      <c r="N59" s="275">
        <f>IF($C59="","",VLOOKUP($C59,CTPit!$E$10:$BG$172,N$49,FALSE))</f>
        <v>7</v>
      </c>
      <c r="O59" s="275" t="str">
        <f>IF($C59="","",VLOOKUP($C59,CTPit!$E$10:$BG$172,O$49,FALSE))</f>
        <v>-</v>
      </c>
      <c r="P59" s="275">
        <f>IF($C59="","",VLOOKUP($C59,CTPit!$E$10:$BG$172,P$49,FALSE))</f>
        <v>6</v>
      </c>
      <c r="Q59" s="275" t="str">
        <f>IF($C59="","",VLOOKUP($C59,CTPit!$E$10:$BG$172,Q$49,FALSE))</f>
        <v>-</v>
      </c>
      <c r="R59" s="275" t="str">
        <f>IF($C59="","",VLOOKUP($C59,CTPit!$E$10:$BG$172,R$49,FALSE))</f>
        <v>-</v>
      </c>
      <c r="S59" s="275" t="str">
        <f>IF($C59="","",VLOOKUP($C59,CTPit!$E$10:$BG$172,S$49,FALSE))</f>
        <v>-</v>
      </c>
      <c r="T59" s="275" t="str">
        <f>IF($C59="","",VLOOKUP($C59,CTPit!$E$10:$BG$172,T$49,FALSE))</f>
        <v>-</v>
      </c>
      <c r="U59" s="275" t="str">
        <f>IF($C59="","",VLOOKUP($C59,CTPit!$E$10:$BG$172,U$49,FALSE))</f>
        <v>-</v>
      </c>
      <c r="V59" s="275" t="str">
        <f>IF($C59="","",VLOOKUP($C59,CTPit!$E$10:$BG$172,V$49,FALSE))</f>
        <v>-</v>
      </c>
      <c r="W59" s="275" t="str">
        <f>IF($C59="","",VLOOKUP($C59,CTPit!$E$10:$BG$172,W$49,FALSE))</f>
        <v>-</v>
      </c>
      <c r="X59" s="275" t="str">
        <f>IF($C59="","",VLOOKUP($C59,CTPit!$E$10:$BG$172,X$49,FALSE))</f>
        <v>-</v>
      </c>
      <c r="Y59" s="276" t="str">
        <f>IF($C59="","",VLOOKUP($C59,CTPit!$E$10:$BG$172,Y$49,FALSE))</f>
        <v>-</v>
      </c>
      <c r="Z59" s="53" t="str">
        <f>IF($C59="","",VLOOKUP($C59,CTPit!$E$10:$BG$172,Z$49,FALSE))</f>
        <v>94-96 Mph</v>
      </c>
      <c r="AA59" s="275">
        <f>IF($C59="","",VLOOKUP($C59,CTPit!$E$10:$BG$172,AA$49,FALSE))</f>
        <v>2</v>
      </c>
      <c r="AB59" s="80">
        <f>IF($C59="","",VLOOKUP($C59,CTPit!$E$10:$BG$172,AB$49,FALSE))</f>
        <v>0.56000000000000005</v>
      </c>
      <c r="AC59" s="289">
        <f>IF($C59="","",VLOOKUP($C59,CTPit!$E$10:$BG$172,AC$49,FALSE))</f>
        <v>6.166666666666667</v>
      </c>
      <c r="AD59" s="275">
        <f>IF($C59="","",VLOOKUP($C59,CTPit!$E$10:$BG$172,AD$49,FALSE))</f>
        <v>6</v>
      </c>
      <c r="AE59" s="275">
        <f>IF($C59="","",VLOOKUP($C59,CTPit!$E$10:$BG$172,AE$49,FALSE))</f>
        <v>6</v>
      </c>
      <c r="AF59" s="276">
        <f>IF($C59="","",VLOOKUP($C59,CTPit!$E$10:$BG$172,AF$49,FALSE))</f>
        <v>7</v>
      </c>
      <c r="AG59" s="289">
        <f>IF($C59="","",VLOOKUP($C59,CTPit!$E$10:$BG$172,AG$49,FALSE))</f>
        <v>6.833333333333333</v>
      </c>
    </row>
    <row r="60" spans="1:33">
      <c r="A60">
        <v>2</v>
      </c>
      <c r="B60" s="39" t="s">
        <v>129</v>
      </c>
      <c r="C60" s="40"/>
      <c r="D60" s="40" t="str">
        <f>IF($C60="","",VLOOKUP($C60,CTPit!$E$10:$BG$214,D$4,FALSE))</f>
        <v/>
      </c>
      <c r="E60" s="40" t="str">
        <f>IF($C60="","",VLOOKUP($C60,CTPit!$E$10:$BG$214,E$4+1,FALSE))</f>
        <v/>
      </c>
      <c r="F60" s="54" t="str">
        <f t="shared" si="91"/>
        <v/>
      </c>
      <c r="G60" s="273" t="str">
        <f t="shared" si="92"/>
        <v/>
      </c>
      <c r="H60" s="274" t="str">
        <f t="shared" si="93"/>
        <v/>
      </c>
      <c r="I60" s="100" t="str">
        <f>IF($C60="","",VLOOKUP($C60,CTPit!$E$10:$BG$172,I$49,FALSE))</f>
        <v/>
      </c>
      <c r="J60" s="273" t="str">
        <f>IF($C60="","",COUNT(N60:Y60))</f>
        <v/>
      </c>
      <c r="K60" s="54" t="str">
        <f>IF($C60="","",VLOOKUP($C60,CTPit!$E$10:$BG$172,K$49,FALSE))</f>
        <v/>
      </c>
      <c r="L60" s="273" t="str">
        <f>IF($C60="","",VLOOKUP($C60,CTPit!$E$10:$BG$172,L$49,FALSE))</f>
        <v/>
      </c>
      <c r="M60" s="274" t="str">
        <f>IF($C60="","",VLOOKUP($C60,CTPit!$E$10:$BG$172,M$49,FALSE))</f>
        <v/>
      </c>
      <c r="N60" s="273" t="str">
        <f>IF($C60="","",VLOOKUP($C60,CTPit!$E$10:$BG$172,N$49,FALSE))</f>
        <v/>
      </c>
      <c r="O60" s="273" t="str">
        <f>IF($C60="","",VLOOKUP($C60,CTPit!$E$10:$BG$172,O$49,FALSE))</f>
        <v/>
      </c>
      <c r="P60" s="273" t="str">
        <f>IF($C60="","",VLOOKUP($C60,CTPit!$E$10:$BG$172,P$49,FALSE))</f>
        <v/>
      </c>
      <c r="Q60" s="273" t="str">
        <f>IF($C60="","",VLOOKUP($C60,CTPit!$E$10:$BG$172,Q$49,FALSE))</f>
        <v/>
      </c>
      <c r="R60" s="273" t="str">
        <f>IF($C60="","",VLOOKUP($C60,CTPit!$E$10:$BG$172,R$49,FALSE))</f>
        <v/>
      </c>
      <c r="S60" s="273" t="str">
        <f>IF($C60="","",VLOOKUP($C60,CTPit!$E$10:$BG$172,S$49,FALSE))</f>
        <v/>
      </c>
      <c r="T60" s="273" t="str">
        <f>IF($C60="","",VLOOKUP($C60,CTPit!$E$10:$BG$172,T$49,FALSE))</f>
        <v/>
      </c>
      <c r="U60" s="273" t="str">
        <f>IF($C60="","",VLOOKUP($C60,CTPit!$E$10:$BG$172,U$49,FALSE))</f>
        <v/>
      </c>
      <c r="V60" s="273" t="str">
        <f>IF($C60="","",VLOOKUP($C60,CTPit!$E$10:$BG$172,V$49,FALSE))</f>
        <v/>
      </c>
      <c r="W60" s="273" t="str">
        <f>IF($C60="","",VLOOKUP($C60,CTPit!$E$10:$BG$172,W$49,FALSE))</f>
        <v/>
      </c>
      <c r="X60" s="273" t="str">
        <f>IF($C60="","",VLOOKUP($C60,CTPit!$E$10:$BG$172,X$49,FALSE))</f>
        <v/>
      </c>
      <c r="Y60" s="274" t="str">
        <f>IF($C60="","",VLOOKUP($C60,CTPit!$E$10:$BG$172,Y$49,FALSE))</f>
        <v/>
      </c>
      <c r="Z60" s="54" t="str">
        <f>IF($C60="","",VLOOKUP($C60,CTPit!$E$10:$BG$172,Z$49,FALSE))</f>
        <v/>
      </c>
      <c r="AA60" s="273" t="str">
        <f>IF($C60="","",VLOOKUP($C60,CTPit!$E$10:$BG$172,AA$49,FALSE))</f>
        <v/>
      </c>
      <c r="AB60" s="81" t="str">
        <f>IF($C60="","",VLOOKUP($C60,CTPit!$E$10:$BG$172,AB$49,FALSE))</f>
        <v/>
      </c>
      <c r="AC60" s="68" t="str">
        <f>IF($C60="","",VLOOKUP($C60,CTPit!$E$10:$BG$172,AC$49,FALSE))</f>
        <v/>
      </c>
      <c r="AD60" s="273" t="str">
        <f>IF($C60="","",VLOOKUP($C60,CTPit!$E$10:$BG$172,AD$49,FALSE))</f>
        <v/>
      </c>
      <c r="AE60" s="273" t="str">
        <f>IF($C60="","",VLOOKUP($C60,CTPit!$E$10:$BG$172,AE$49,FALSE))</f>
        <v/>
      </c>
      <c r="AF60" s="274" t="str">
        <f>IF($C60="","",VLOOKUP($C60,CTPit!$E$10:$BG$172,AF$49,FALSE))</f>
        <v/>
      </c>
      <c r="AG60" s="68" t="str">
        <f>IF($C60="","",VLOOKUP($C60,CTPit!$E$10:$BG$172,AG$49,FALSE))</f>
        <v/>
      </c>
    </row>
    <row r="61" spans="1:33">
      <c r="Z61" s="275"/>
      <c r="AA61" s="275"/>
      <c r="AB61" s="275"/>
    </row>
    <row r="62" spans="1:33" ht="57">
      <c r="A62" s="25" t="s">
        <v>193</v>
      </c>
      <c r="B62" s="270" t="s">
        <v>130</v>
      </c>
      <c r="C62" s="44" t="s">
        <v>118</v>
      </c>
      <c r="D62" s="44" t="s">
        <v>91</v>
      </c>
      <c r="E62" s="44" t="s">
        <v>102</v>
      </c>
      <c r="F62" s="55" t="s">
        <v>190</v>
      </c>
      <c r="G62" s="47" t="s">
        <v>191</v>
      </c>
      <c r="H62" s="56" t="s">
        <v>192</v>
      </c>
      <c r="I62" s="76" t="s">
        <v>212</v>
      </c>
      <c r="J62" s="47" t="s">
        <v>189</v>
      </c>
      <c r="K62" s="79" t="s">
        <v>186</v>
      </c>
      <c r="L62" s="74" t="s">
        <v>187</v>
      </c>
      <c r="M62" s="75" t="s">
        <v>188</v>
      </c>
      <c r="N62" s="74" t="s">
        <v>60</v>
      </c>
      <c r="O62" s="74" t="s">
        <v>62</v>
      </c>
      <c r="P62" s="74" t="s">
        <v>64</v>
      </c>
      <c r="Q62" s="74" t="s">
        <v>66</v>
      </c>
      <c r="R62" s="74" t="s">
        <v>68</v>
      </c>
      <c r="S62" s="74" t="s">
        <v>108</v>
      </c>
      <c r="T62" s="74" t="s">
        <v>71</v>
      </c>
      <c r="U62" s="74" t="s">
        <v>73</v>
      </c>
      <c r="V62" s="74" t="s">
        <v>75</v>
      </c>
      <c r="W62" s="74" t="s">
        <v>77</v>
      </c>
      <c r="X62" s="74" t="s">
        <v>79</v>
      </c>
      <c r="Y62" s="75" t="s">
        <v>81</v>
      </c>
      <c r="Z62" s="79" t="s">
        <v>199</v>
      </c>
      <c r="AA62" s="74" t="s">
        <v>198</v>
      </c>
      <c r="AB62" s="75" t="s">
        <v>200</v>
      </c>
      <c r="AC62" s="288" t="s">
        <v>537</v>
      </c>
      <c r="AD62" s="74" t="s">
        <v>186</v>
      </c>
      <c r="AE62" s="74" t="s">
        <v>187</v>
      </c>
      <c r="AF62" s="75" t="s">
        <v>188</v>
      </c>
      <c r="AG62" s="288" t="s">
        <v>197</v>
      </c>
    </row>
    <row r="63" spans="1:33">
      <c r="A63">
        <v>1</v>
      </c>
      <c r="B63" s="36" t="s">
        <v>131</v>
      </c>
      <c r="C63" s="37"/>
      <c r="D63" s="37" t="str">
        <f>IF($C63="","",VLOOKUP($C63,CTPit!$E$10:$BG$214,D$4,FALSE))</f>
        <v/>
      </c>
      <c r="E63" s="37" t="str">
        <f>IF($C63="","",VLOOKUP($C63,CTPit!$E$10:$BG$214,E$4+1,FALSE))</f>
        <v/>
      </c>
      <c r="F63" s="53" t="str">
        <f t="shared" ref="F63:F72" si="94">IF($C63="","",IF(AG63&gt;7,1,0))</f>
        <v/>
      </c>
      <c r="G63" s="275" t="str">
        <f t="shared" ref="G63:G72" si="95">IF($C63="","",IF(AG63&gt;6.5,1,0))</f>
        <v/>
      </c>
      <c r="H63" s="276" t="str">
        <f t="shared" ref="H63:H72" si="96">IF($C63="","",IF(AG63&gt;6,1,0))</f>
        <v/>
      </c>
      <c r="I63" s="99" t="str">
        <f>IF($C63="","",VLOOKUP($C63,CTPit!$E$10:$BG$172,I$49,FALSE))</f>
        <v/>
      </c>
      <c r="J63" s="275" t="str">
        <f t="shared" ref="J63:J72" si="97">IF($C63="","",COUNT(N63:Y63))</f>
        <v/>
      </c>
      <c r="K63" s="53" t="str">
        <f>IF($C63="","",VLOOKUP($C63,CTPit!$E$10:$BG$172,K$49,FALSE))</f>
        <v/>
      </c>
      <c r="L63" s="275" t="str">
        <f>IF($C63="","",VLOOKUP($C63,CTPit!$E$10:$BG$172,L$49,FALSE))</f>
        <v/>
      </c>
      <c r="M63" s="276" t="str">
        <f>IF($C63="","",VLOOKUP($C63,CTPit!$E$10:$BG$172,M$49,FALSE))</f>
        <v/>
      </c>
      <c r="N63" s="275" t="str">
        <f>IF($C63="","",VLOOKUP($C63,CTPit!$E$10:$BG$172,N$49,FALSE))</f>
        <v/>
      </c>
      <c r="O63" s="275" t="str">
        <f>IF($C63="","",VLOOKUP($C63,CTPit!$E$10:$BG$172,O$49,FALSE))</f>
        <v/>
      </c>
      <c r="P63" s="275" t="str">
        <f>IF($C63="","",VLOOKUP($C63,CTPit!$E$10:$BG$172,P$49,FALSE))</f>
        <v/>
      </c>
      <c r="Q63" s="275" t="str">
        <f>IF($C63="","",VLOOKUP($C63,CTPit!$E$10:$BG$172,Q$49,FALSE))</f>
        <v/>
      </c>
      <c r="R63" s="275" t="str">
        <f>IF($C63="","",VLOOKUP($C63,CTPit!$E$10:$BG$172,R$49,FALSE))</f>
        <v/>
      </c>
      <c r="S63" s="275" t="str">
        <f>IF($C63="","",VLOOKUP($C63,CTPit!$E$10:$BG$172,S$49,FALSE))</f>
        <v/>
      </c>
      <c r="T63" s="275" t="str">
        <f>IF($C63="","",VLOOKUP($C63,CTPit!$E$10:$BG$172,T$49,FALSE))</f>
        <v/>
      </c>
      <c r="U63" s="275" t="str">
        <f>IF($C63="","",VLOOKUP($C63,CTPit!$E$10:$BG$172,U$49,FALSE))</f>
        <v/>
      </c>
      <c r="V63" s="275" t="str">
        <f>IF($C63="","",VLOOKUP($C63,CTPit!$E$10:$BG$172,V$49,FALSE))</f>
        <v/>
      </c>
      <c r="W63" s="275" t="str">
        <f>IF($C63="","",VLOOKUP($C63,CTPit!$E$10:$BG$172,W$49,FALSE))</f>
        <v/>
      </c>
      <c r="X63" s="275" t="str">
        <f>IF($C63="","",VLOOKUP($C63,CTPit!$E$10:$BG$172,X$49,FALSE))</f>
        <v/>
      </c>
      <c r="Y63" s="276" t="str">
        <f>IF($C63="","",VLOOKUP($C63,CTPit!$E$10:$BG$172,Y$49,FALSE))</f>
        <v/>
      </c>
      <c r="Z63" s="53" t="str">
        <f>IF($C63="","",VLOOKUP($C63,CTPit!$E$10:$BG$172,Z$49,FALSE))</f>
        <v/>
      </c>
      <c r="AA63" s="275" t="str">
        <f>IF($C63="","",VLOOKUP($C63,CTPit!$E$10:$BG$172,AA$49,FALSE))</f>
        <v/>
      </c>
      <c r="AB63" s="80" t="str">
        <f>IF($C63="","",VLOOKUP($C63,CTPit!$E$10:$BG$172,AB$49,FALSE))</f>
        <v/>
      </c>
      <c r="AC63" s="289" t="str">
        <f>IF($C63="","",VLOOKUP($C63,CTPit!$E$10:$BG$172,AC$49,FALSE))</f>
        <v/>
      </c>
      <c r="AD63" s="275" t="str">
        <f>IF($C63="","",VLOOKUP($C63,CTPit!$E$10:$BG$172,AD$49,FALSE))</f>
        <v/>
      </c>
      <c r="AE63" s="275" t="str">
        <f>IF($C63="","",VLOOKUP($C63,CTPit!$E$10:$BG$172,AE$49,FALSE))</f>
        <v/>
      </c>
      <c r="AF63" s="276" t="str">
        <f>IF($C63="","",VLOOKUP($C63,CTPit!$E$10:$BG$172,AF$49,FALSE))</f>
        <v/>
      </c>
      <c r="AG63" s="289" t="str">
        <f>IF($C63="","",VLOOKUP($C63,CTPit!$E$10:$BG$172,AG$49,FALSE))</f>
        <v/>
      </c>
    </row>
    <row r="64" spans="1:33">
      <c r="A64">
        <v>2</v>
      </c>
      <c r="B64" s="36" t="s">
        <v>132</v>
      </c>
      <c r="C64" s="65"/>
      <c r="D64" s="37" t="str">
        <f>IF($C64="","",VLOOKUP($C64,CTPit!$E$10:$BG$214,D$4,FALSE))</f>
        <v/>
      </c>
      <c r="E64" s="37" t="str">
        <f>IF($C64="","",VLOOKUP($C64,CTPit!$E$10:$BG$214,E$4+1,FALSE))</f>
        <v/>
      </c>
      <c r="F64" s="53" t="str">
        <f t="shared" si="94"/>
        <v/>
      </c>
      <c r="G64" s="275" t="str">
        <f t="shared" si="95"/>
        <v/>
      </c>
      <c r="H64" s="276" t="str">
        <f t="shared" si="96"/>
        <v/>
      </c>
      <c r="I64" s="99" t="str">
        <f>IF($C64="","",VLOOKUP($C64,CTPit!$E$10:$BG$172,I$49,FALSE))</f>
        <v/>
      </c>
      <c r="J64" s="275" t="str">
        <f t="shared" si="97"/>
        <v/>
      </c>
      <c r="K64" s="53" t="str">
        <f>IF($C64="","",VLOOKUP($C64,CTPit!$E$10:$BG$172,K$49,FALSE))</f>
        <v/>
      </c>
      <c r="L64" s="275" t="str">
        <f>IF($C64="","",VLOOKUP($C64,CTPit!$E$10:$BG$172,L$49,FALSE))</f>
        <v/>
      </c>
      <c r="M64" s="276" t="str">
        <f>IF($C64="","",VLOOKUP($C64,CTPit!$E$10:$BG$172,M$49,FALSE))</f>
        <v/>
      </c>
      <c r="N64" s="275" t="str">
        <f>IF($C64="","",VLOOKUP($C64,CTPit!$E$10:$BG$172,N$49,FALSE))</f>
        <v/>
      </c>
      <c r="O64" s="275" t="str">
        <f>IF($C64="","",VLOOKUP($C64,CTPit!$E$10:$BG$172,O$49,FALSE))</f>
        <v/>
      </c>
      <c r="P64" s="275" t="str">
        <f>IF($C64="","",VLOOKUP($C64,CTPit!$E$10:$BG$172,P$49,FALSE))</f>
        <v/>
      </c>
      <c r="Q64" s="275" t="str">
        <f>IF($C64="","",VLOOKUP($C64,CTPit!$E$10:$BG$172,Q$49,FALSE))</f>
        <v/>
      </c>
      <c r="R64" s="275" t="str">
        <f>IF($C64="","",VLOOKUP($C64,CTPit!$E$10:$BG$172,R$49,FALSE))</f>
        <v/>
      </c>
      <c r="S64" s="275" t="str">
        <f>IF($C64="","",VLOOKUP($C64,CTPit!$E$10:$BG$172,S$49,FALSE))</f>
        <v/>
      </c>
      <c r="T64" s="275" t="str">
        <f>IF($C64="","",VLOOKUP($C64,CTPit!$E$10:$BG$172,T$49,FALSE))</f>
        <v/>
      </c>
      <c r="U64" s="275" t="str">
        <f>IF($C64="","",VLOOKUP($C64,CTPit!$E$10:$BG$172,U$49,FALSE))</f>
        <v/>
      </c>
      <c r="V64" s="275" t="str">
        <f>IF($C64="","",VLOOKUP($C64,CTPit!$E$10:$BG$172,V$49,FALSE))</f>
        <v/>
      </c>
      <c r="W64" s="275" t="str">
        <f>IF($C64="","",VLOOKUP($C64,CTPit!$E$10:$BG$172,W$49,FALSE))</f>
        <v/>
      </c>
      <c r="X64" s="275" t="str">
        <f>IF($C64="","",VLOOKUP($C64,CTPit!$E$10:$BG$172,X$49,FALSE))</f>
        <v/>
      </c>
      <c r="Y64" s="276" t="str">
        <f>IF($C64="","",VLOOKUP($C64,CTPit!$E$10:$BG$172,Y$49,FALSE))</f>
        <v/>
      </c>
      <c r="Z64" s="53" t="str">
        <f>IF($C64="","",VLOOKUP($C64,CTPit!$E$10:$BG$172,Z$49,FALSE))</f>
        <v/>
      </c>
      <c r="AA64" s="275" t="str">
        <f>IF($C64="","",VLOOKUP($C64,CTPit!$E$10:$BG$172,AA$49,FALSE))</f>
        <v/>
      </c>
      <c r="AB64" s="80" t="str">
        <f>IF($C64="","",VLOOKUP($C64,CTPit!$E$10:$BG$172,AB$49,FALSE))</f>
        <v/>
      </c>
      <c r="AC64" s="67" t="str">
        <f>IF($C64="","",VLOOKUP($C64,CTPit!$E$10:$BG$172,AC$49,FALSE))</f>
        <v/>
      </c>
      <c r="AD64" s="275" t="str">
        <f>IF($C64="","",VLOOKUP($C64,CTPit!$E$10:$BG$172,AD$49,FALSE))</f>
        <v/>
      </c>
      <c r="AE64" s="275" t="str">
        <f>IF($C64="","",VLOOKUP($C64,CTPit!$E$10:$BG$172,AE$49,FALSE))</f>
        <v/>
      </c>
      <c r="AF64" s="276" t="str">
        <f>IF($C64="","",VLOOKUP($C64,CTPit!$E$10:$BG$172,AF$49,FALSE))</f>
        <v/>
      </c>
      <c r="AG64" s="67" t="str">
        <f>IF($C64="","",VLOOKUP($C64,CTPit!$E$10:$BG$172,AG$49,FALSE))</f>
        <v/>
      </c>
    </row>
    <row r="65" spans="1:33">
      <c r="A65">
        <v>3</v>
      </c>
      <c r="B65" s="36" t="s">
        <v>19</v>
      </c>
      <c r="C65" s="65" t="s">
        <v>424</v>
      </c>
      <c r="D65" s="37" t="e">
        <f>IF($C65="","",VLOOKUP($C65,CTPit!$E$10:$BG$214,D$4,FALSE))</f>
        <v>#N/A</v>
      </c>
      <c r="E65" s="37" t="e">
        <f>IF($C65="","",VLOOKUP($C65,CTPit!$E$10:$BG$214,E$4+1,FALSE))</f>
        <v>#N/A</v>
      </c>
      <c r="F65" s="53" t="e">
        <f t="shared" si="94"/>
        <v>#N/A</v>
      </c>
      <c r="G65" s="275" t="e">
        <f t="shared" si="95"/>
        <v>#N/A</v>
      </c>
      <c r="H65" s="276" t="e">
        <f t="shared" si="96"/>
        <v>#N/A</v>
      </c>
      <c r="I65" s="99" t="e">
        <f>IF($C65="","",VLOOKUP($C65,CTPit!$E$10:$BG$172,I$49,FALSE))</f>
        <v>#N/A</v>
      </c>
      <c r="J65" s="275">
        <f t="shared" si="97"/>
        <v>0</v>
      </c>
      <c r="K65" s="53" t="e">
        <f>IF($C65="","",VLOOKUP($C65,CTPit!$E$10:$BG$172,K$49,FALSE))</f>
        <v>#N/A</v>
      </c>
      <c r="L65" s="275" t="e">
        <f>IF($C65="","",VLOOKUP($C65,CTPit!$E$10:$BG$172,L$49,FALSE))</f>
        <v>#N/A</v>
      </c>
      <c r="M65" s="276" t="e">
        <f>IF($C65="","",VLOOKUP($C65,CTPit!$E$10:$BG$172,M$49,FALSE))</f>
        <v>#N/A</v>
      </c>
      <c r="N65" s="275" t="e">
        <f>IF($C65="","",VLOOKUP($C65,CTPit!$E$10:$BG$172,N$49,FALSE))</f>
        <v>#N/A</v>
      </c>
      <c r="O65" s="275" t="e">
        <f>IF($C65="","",VLOOKUP($C65,CTPit!$E$10:$BG$172,O$49,FALSE))</f>
        <v>#N/A</v>
      </c>
      <c r="P65" s="275" t="e">
        <f>IF($C65="","",VLOOKUP($C65,CTPit!$E$10:$BG$172,P$49,FALSE))</f>
        <v>#N/A</v>
      </c>
      <c r="Q65" s="275" t="e">
        <f>IF($C65="","",VLOOKUP($C65,CTPit!$E$10:$BG$172,Q$49,FALSE))</f>
        <v>#N/A</v>
      </c>
      <c r="R65" s="275" t="e">
        <f>IF($C65="","",VLOOKUP($C65,CTPit!$E$10:$BG$172,R$49,FALSE))</f>
        <v>#N/A</v>
      </c>
      <c r="S65" s="275" t="e">
        <f>IF($C65="","",VLOOKUP($C65,CTPit!$E$10:$BG$172,S$49,FALSE))</f>
        <v>#N/A</v>
      </c>
      <c r="T65" s="275" t="e">
        <f>IF($C65="","",VLOOKUP($C65,CTPit!$E$10:$BG$172,T$49,FALSE))</f>
        <v>#N/A</v>
      </c>
      <c r="U65" s="275" t="e">
        <f>IF($C65="","",VLOOKUP($C65,CTPit!$E$10:$BG$172,U$49,FALSE))</f>
        <v>#N/A</v>
      </c>
      <c r="V65" s="275" t="e">
        <f>IF($C65="","",VLOOKUP($C65,CTPit!$E$10:$BG$172,V$49,FALSE))</f>
        <v>#N/A</v>
      </c>
      <c r="W65" s="275" t="e">
        <f>IF($C65="","",VLOOKUP($C65,CTPit!$E$10:$BG$172,W$49,FALSE))</f>
        <v>#N/A</v>
      </c>
      <c r="X65" s="275" t="e">
        <f>IF($C65="","",VLOOKUP($C65,CTPit!$E$10:$BG$172,X$49,FALSE))</f>
        <v>#N/A</v>
      </c>
      <c r="Y65" s="276" t="e">
        <f>IF($C65="","",VLOOKUP($C65,CTPit!$E$10:$BG$172,Y$49,FALSE))</f>
        <v>#N/A</v>
      </c>
      <c r="Z65" s="53" t="e">
        <f>IF($C65="","",VLOOKUP($C65,CTPit!$E$10:$BG$172,Z$49,FALSE))</f>
        <v>#N/A</v>
      </c>
      <c r="AA65" s="275" t="e">
        <f>IF($C65="","",VLOOKUP($C65,CTPit!$E$10:$BG$172,AA$49,FALSE))</f>
        <v>#N/A</v>
      </c>
      <c r="AB65" s="80" t="e">
        <f>IF($C65="","",VLOOKUP($C65,CTPit!$E$10:$BG$172,AB$49,FALSE))</f>
        <v>#N/A</v>
      </c>
      <c r="AC65" s="67" t="e">
        <f>IF($C65="","",VLOOKUP($C65,CTPit!$E$10:$BG$172,AC$49,FALSE))</f>
        <v>#N/A</v>
      </c>
      <c r="AD65" s="275" t="e">
        <f>IF($C65="","",VLOOKUP($C65,CTPit!$E$10:$BG$172,AD$49,FALSE))</f>
        <v>#N/A</v>
      </c>
      <c r="AE65" s="275" t="e">
        <f>IF($C65="","",VLOOKUP($C65,CTPit!$E$10:$BG$172,AE$49,FALSE))</f>
        <v>#N/A</v>
      </c>
      <c r="AF65" s="276" t="e">
        <f>IF($C65="","",VLOOKUP($C65,CTPit!$E$10:$BG$172,AF$49,FALSE))</f>
        <v>#N/A</v>
      </c>
      <c r="AG65" s="67" t="e">
        <f>IF($C65="","",VLOOKUP($C65,CTPit!$E$10:$BG$172,AG$49,FALSE))</f>
        <v>#N/A</v>
      </c>
    </row>
    <row r="66" spans="1:33">
      <c r="A66">
        <v>4</v>
      </c>
      <c r="B66" s="36" t="s">
        <v>19</v>
      </c>
      <c r="C66" s="65" t="s">
        <v>425</v>
      </c>
      <c r="D66" s="37">
        <f>IF($C66="","",VLOOKUP($C66,CTPit!$E$10:$BG$214,D$4,FALSE))</f>
        <v>23</v>
      </c>
      <c r="E66" s="37" t="str">
        <f>IF($C66="","",VLOOKUP($C66,CTPit!$E$10:$BG$214,E$4+1,FALSE))</f>
        <v>R</v>
      </c>
      <c r="F66" s="53">
        <f t="shared" si="94"/>
        <v>0</v>
      </c>
      <c r="G66" s="275">
        <f t="shared" si="95"/>
        <v>1</v>
      </c>
      <c r="H66" s="276">
        <f t="shared" si="96"/>
        <v>1</v>
      </c>
      <c r="I66" s="99" t="str">
        <f>IF($C66="","",VLOOKUP($C66,CTPit!$E$10:$BG$172,I$49,FALSE))</f>
        <v>R</v>
      </c>
      <c r="J66" s="275">
        <f t="shared" si="97"/>
        <v>2</v>
      </c>
      <c r="K66" s="53">
        <f>IF($C66="","",VLOOKUP($C66,CTPit!$E$10:$BG$172,K$49,FALSE))</f>
        <v>9</v>
      </c>
      <c r="L66" s="275">
        <f>IF($C66="","",VLOOKUP($C66,CTPit!$E$10:$BG$172,L$49,FALSE))</f>
        <v>5</v>
      </c>
      <c r="M66" s="276">
        <f>IF($C66="","",VLOOKUP($C66,CTPit!$E$10:$BG$172,M$49,FALSE))</f>
        <v>4</v>
      </c>
      <c r="N66" s="275">
        <f>IF($C66="","",VLOOKUP($C66,CTPit!$E$10:$BG$172,N$49,FALSE))</f>
        <v>9</v>
      </c>
      <c r="O66" s="275" t="str">
        <f>IF($C66="","",VLOOKUP($C66,CTPit!$E$10:$BG$172,O$49,FALSE))</f>
        <v>-</v>
      </c>
      <c r="P66" s="275" t="str">
        <f>IF($C66="","",VLOOKUP($C66,CTPit!$E$10:$BG$172,P$49,FALSE))</f>
        <v>-</v>
      </c>
      <c r="Q66" s="275">
        <f>IF($C66="","",VLOOKUP($C66,CTPit!$E$10:$BG$172,Q$49,FALSE))</f>
        <v>8</v>
      </c>
      <c r="R66" s="275" t="str">
        <f>IF($C66="","",VLOOKUP($C66,CTPit!$E$10:$BG$172,R$49,FALSE))</f>
        <v>-</v>
      </c>
      <c r="S66" s="275" t="str">
        <f>IF($C66="","",VLOOKUP($C66,CTPit!$E$10:$BG$172,S$49,FALSE))</f>
        <v>-</v>
      </c>
      <c r="T66" s="275" t="str">
        <f>IF($C66="","",VLOOKUP($C66,CTPit!$E$10:$BG$172,T$49,FALSE))</f>
        <v>-</v>
      </c>
      <c r="U66" s="275" t="str">
        <f>IF($C66="","",VLOOKUP($C66,CTPit!$E$10:$BG$172,U$49,FALSE))</f>
        <v>-</v>
      </c>
      <c r="V66" s="275" t="str">
        <f>IF($C66="","",VLOOKUP($C66,CTPit!$E$10:$BG$172,V$49,FALSE))</f>
        <v>-</v>
      </c>
      <c r="W66" s="275" t="str">
        <f>IF($C66="","",VLOOKUP($C66,CTPit!$E$10:$BG$172,W$49,FALSE))</f>
        <v>-</v>
      </c>
      <c r="X66" s="275" t="str">
        <f>IF($C66="","",VLOOKUP($C66,CTPit!$E$10:$BG$172,X$49,FALSE))</f>
        <v>-</v>
      </c>
      <c r="Y66" s="276" t="str">
        <f>IF($C66="","",VLOOKUP($C66,CTPit!$E$10:$BG$172,Y$49,FALSE))</f>
        <v>-</v>
      </c>
      <c r="Z66" s="53" t="str">
        <f>IF($C66="","",VLOOKUP($C66,CTPit!$E$10:$BG$172,Z$49,FALSE))</f>
        <v>96-98 Mph</v>
      </c>
      <c r="AA66" s="275">
        <f>IF($C66="","",VLOOKUP($C66,CTPit!$E$10:$BG$172,AA$49,FALSE))</f>
        <v>1</v>
      </c>
      <c r="AB66" s="80">
        <f>IF($C66="","",VLOOKUP($C66,CTPit!$E$10:$BG$172,AB$49,FALSE))</f>
        <v>0.37</v>
      </c>
      <c r="AC66" s="67">
        <f>IF($C66="","",VLOOKUP($C66,CTPit!$E$10:$BG$172,AC$49,FALSE))</f>
        <v>6.25</v>
      </c>
      <c r="AD66" s="275">
        <f>IF($C66="","",VLOOKUP($C66,CTPit!$E$10:$BG$172,AD$49,FALSE))</f>
        <v>9</v>
      </c>
      <c r="AE66" s="275">
        <f>IF($C66="","",VLOOKUP($C66,CTPit!$E$10:$BG$172,AE$49,FALSE))</f>
        <v>5</v>
      </c>
      <c r="AF66" s="276">
        <f>IF($C66="","",VLOOKUP($C66,CTPit!$E$10:$BG$172,AF$49,FALSE))</f>
        <v>5</v>
      </c>
      <c r="AG66" s="67">
        <f>IF($C66="","",VLOOKUP($C66,CTPit!$E$10:$BG$172,AG$49,FALSE))</f>
        <v>6.583333333333333</v>
      </c>
    </row>
    <row r="67" spans="1:33">
      <c r="A67">
        <v>5</v>
      </c>
      <c r="B67" s="36" t="s">
        <v>19</v>
      </c>
      <c r="C67" s="65" t="s">
        <v>9</v>
      </c>
      <c r="D67" s="37">
        <f>IF($C67="","",VLOOKUP($C67,CTPit!$E$10:$BG$214,D$4,FALSE))</f>
        <v>25</v>
      </c>
      <c r="E67" s="37" t="str">
        <f>IF($C67="","",VLOOKUP($C67,CTPit!$E$10:$BG$214,E$4+1,FALSE))</f>
        <v>R</v>
      </c>
      <c r="F67" s="53">
        <f t="shared" si="94"/>
        <v>0</v>
      </c>
      <c r="G67" s="275">
        <f t="shared" si="95"/>
        <v>0</v>
      </c>
      <c r="H67" s="276">
        <f t="shared" si="96"/>
        <v>1</v>
      </c>
      <c r="I67" s="99" t="str">
        <f>IF($C67="","",VLOOKUP($C67,CTPit!$E$10:$BG$172,I$49,FALSE))</f>
        <v>R</v>
      </c>
      <c r="J67" s="275">
        <f t="shared" si="97"/>
        <v>2</v>
      </c>
      <c r="K67" s="53">
        <f>IF($C67="","",VLOOKUP($C67,CTPit!$E$10:$BG$172,K$49,FALSE))</f>
        <v>7</v>
      </c>
      <c r="L67" s="275">
        <f>IF($C67="","",VLOOKUP($C67,CTPit!$E$10:$BG$172,L$49,FALSE))</f>
        <v>7</v>
      </c>
      <c r="M67" s="276">
        <f>IF($C67="","",VLOOKUP($C67,CTPit!$E$10:$BG$172,M$49,FALSE))</f>
        <v>4</v>
      </c>
      <c r="N67" s="275">
        <f>IF($C67="","",VLOOKUP($C67,CTPit!$E$10:$BG$172,N$49,FALSE))</f>
        <v>8</v>
      </c>
      <c r="O67" s="275" t="str">
        <f>IF($C67="","",VLOOKUP($C67,CTPit!$E$10:$BG$172,O$49,FALSE))</f>
        <v>-</v>
      </c>
      <c r="P67" s="275" t="str">
        <f>IF($C67="","",VLOOKUP($C67,CTPit!$E$10:$BG$172,P$49,FALSE))</f>
        <v>-</v>
      </c>
      <c r="Q67" s="275">
        <f>IF($C67="","",VLOOKUP($C67,CTPit!$E$10:$BG$172,Q$49,FALSE))</f>
        <v>7</v>
      </c>
      <c r="R67" s="275" t="str">
        <f>IF($C67="","",VLOOKUP($C67,CTPit!$E$10:$BG$172,R$49,FALSE))</f>
        <v>-</v>
      </c>
      <c r="S67" s="275" t="str">
        <f>IF($C67="","",VLOOKUP($C67,CTPit!$E$10:$BG$172,S$49,FALSE))</f>
        <v>-</v>
      </c>
      <c r="T67" s="275" t="str">
        <f>IF($C67="","",VLOOKUP($C67,CTPit!$E$10:$BG$172,T$49,FALSE))</f>
        <v>-</v>
      </c>
      <c r="U67" s="275" t="str">
        <f>IF($C67="","",VLOOKUP($C67,CTPit!$E$10:$BG$172,U$49,FALSE))</f>
        <v>-</v>
      </c>
      <c r="V67" s="275" t="str">
        <f>IF($C67="","",VLOOKUP($C67,CTPit!$E$10:$BG$172,V$49,FALSE))</f>
        <v>-</v>
      </c>
      <c r="W67" s="275" t="str">
        <f>IF($C67="","",VLOOKUP($C67,CTPit!$E$10:$BG$172,W$49,FALSE))</f>
        <v>-</v>
      </c>
      <c r="X67" s="275" t="str">
        <f>IF($C67="","",VLOOKUP($C67,CTPit!$E$10:$BG$172,X$49,FALSE))</f>
        <v>-</v>
      </c>
      <c r="Y67" s="276" t="str">
        <f>IF($C67="","",VLOOKUP($C67,CTPit!$E$10:$BG$172,Y$49,FALSE))</f>
        <v>-</v>
      </c>
      <c r="Z67" s="53" t="str">
        <f>IF($C67="","",VLOOKUP($C67,CTPit!$E$10:$BG$172,Z$49,FALSE))</f>
        <v>96-98 Mph</v>
      </c>
      <c r="AA67" s="275">
        <f>IF($C67="","",VLOOKUP($C67,CTPit!$E$10:$BG$172,AA$49,FALSE))</f>
        <v>1</v>
      </c>
      <c r="AB67" s="80">
        <f>IF($C67="","",VLOOKUP($C67,CTPit!$E$10:$BG$172,AB$49,FALSE))</f>
        <v>0.63</v>
      </c>
      <c r="AC67" s="67">
        <f>IF($C67="","",VLOOKUP($C67,CTPit!$E$10:$BG$172,AC$49,FALSE))</f>
        <v>6.5</v>
      </c>
      <c r="AD67" s="275">
        <f>IF($C67="","",VLOOKUP($C67,CTPit!$E$10:$BG$172,AD$49,FALSE))</f>
        <v>7</v>
      </c>
      <c r="AE67" s="275">
        <f>IF($C67="","",VLOOKUP($C67,CTPit!$E$10:$BG$172,AE$49,FALSE))</f>
        <v>7</v>
      </c>
      <c r="AF67" s="276">
        <f>IF($C67="","",VLOOKUP($C67,CTPit!$E$10:$BG$172,AF$49,FALSE))</f>
        <v>4</v>
      </c>
      <c r="AG67" s="67">
        <f>IF($C67="","",VLOOKUP($C67,CTPit!$E$10:$BG$172,AG$49,FALSE))</f>
        <v>6.5</v>
      </c>
    </row>
    <row r="68" spans="1:33">
      <c r="A68">
        <v>6</v>
      </c>
      <c r="B68" s="36" t="s">
        <v>19</v>
      </c>
      <c r="C68" s="65"/>
      <c r="D68" s="37" t="str">
        <f>IF($C68="","",VLOOKUP($C68,CTPit!$E$10:$BG$214,D$4,FALSE))</f>
        <v/>
      </c>
      <c r="E68" s="37" t="str">
        <f>IF($C68="","",VLOOKUP($C68,CTPit!$E$10:$BG$214,E$4+1,FALSE))</f>
        <v/>
      </c>
      <c r="F68" s="53" t="str">
        <f t="shared" si="94"/>
        <v/>
      </c>
      <c r="G68" s="275" t="str">
        <f t="shared" si="95"/>
        <v/>
      </c>
      <c r="H68" s="276" t="str">
        <f t="shared" si="96"/>
        <v/>
      </c>
      <c r="I68" s="99" t="str">
        <f>IF($C68="","",VLOOKUP($C68,CTPit!$E$10:$BG$172,I$49,FALSE))</f>
        <v/>
      </c>
      <c r="J68" s="275" t="str">
        <f t="shared" si="97"/>
        <v/>
      </c>
      <c r="K68" s="53" t="str">
        <f>IF($C68="","",VLOOKUP($C68,CTPit!$E$10:$BG$172,K$49,FALSE))</f>
        <v/>
      </c>
      <c r="L68" s="275" t="str">
        <f>IF($C68="","",VLOOKUP($C68,CTPit!$E$10:$BG$172,L$49,FALSE))</f>
        <v/>
      </c>
      <c r="M68" s="276" t="str">
        <f>IF($C68="","",VLOOKUP($C68,CTPit!$E$10:$BG$172,M$49,FALSE))</f>
        <v/>
      </c>
      <c r="N68" s="275" t="str">
        <f>IF($C68="","",VLOOKUP($C68,CTPit!$E$10:$BG$172,N$49,FALSE))</f>
        <v/>
      </c>
      <c r="O68" s="275" t="str">
        <f>IF($C68="","",VLOOKUP($C68,CTPit!$E$10:$BG$172,O$49,FALSE))</f>
        <v/>
      </c>
      <c r="P68" s="275" t="str">
        <f>IF($C68="","",VLOOKUP($C68,CTPit!$E$10:$BG$172,P$49,FALSE))</f>
        <v/>
      </c>
      <c r="Q68" s="275" t="str">
        <f>IF($C68="","",VLOOKUP($C68,CTPit!$E$10:$BG$172,Q$49,FALSE))</f>
        <v/>
      </c>
      <c r="R68" s="275" t="str">
        <f>IF($C68="","",VLOOKUP($C68,CTPit!$E$10:$BG$172,R$49,FALSE))</f>
        <v/>
      </c>
      <c r="S68" s="275" t="str">
        <f>IF($C68="","",VLOOKUP($C68,CTPit!$E$10:$BG$172,S$49,FALSE))</f>
        <v/>
      </c>
      <c r="T68" s="275" t="str">
        <f>IF($C68="","",VLOOKUP($C68,CTPit!$E$10:$BG$172,T$49,FALSE))</f>
        <v/>
      </c>
      <c r="U68" s="275" t="str">
        <f>IF($C68="","",VLOOKUP($C68,CTPit!$E$10:$BG$172,U$49,FALSE))</f>
        <v/>
      </c>
      <c r="V68" s="275" t="str">
        <f>IF($C68="","",VLOOKUP($C68,CTPit!$E$10:$BG$172,V$49,FALSE))</f>
        <v/>
      </c>
      <c r="W68" s="275" t="str">
        <f>IF($C68="","",VLOOKUP($C68,CTPit!$E$10:$BG$172,W$49,FALSE))</f>
        <v/>
      </c>
      <c r="X68" s="275" t="str">
        <f>IF($C68="","",VLOOKUP($C68,CTPit!$E$10:$BG$172,X$49,FALSE))</f>
        <v/>
      </c>
      <c r="Y68" s="276" t="str">
        <f>IF($C68="","",VLOOKUP($C68,CTPit!$E$10:$BG$172,Y$49,FALSE))</f>
        <v/>
      </c>
      <c r="Z68" s="53" t="str">
        <f>IF($C68="","",VLOOKUP($C68,CTPit!$E$10:$BG$172,Z$49,FALSE))</f>
        <v/>
      </c>
      <c r="AA68" s="275" t="str">
        <f>IF($C68="","",VLOOKUP($C68,CTPit!$E$10:$BG$172,AA$49,FALSE))</f>
        <v/>
      </c>
      <c r="AB68" s="80" t="str">
        <f>IF($C68="","",VLOOKUP($C68,CTPit!$E$10:$BG$172,AB$49,FALSE))</f>
        <v/>
      </c>
      <c r="AC68" s="67" t="str">
        <f>IF($C68="","",VLOOKUP($C68,CTPit!$E$10:$BG$172,AC$49,FALSE))</f>
        <v/>
      </c>
      <c r="AD68" s="275" t="str">
        <f>IF($C68="","",VLOOKUP($C68,CTPit!$E$10:$BG$172,AD$49,FALSE))</f>
        <v/>
      </c>
      <c r="AE68" s="275" t="str">
        <f>IF($C68="","",VLOOKUP($C68,CTPit!$E$10:$BG$172,AE$49,FALSE))</f>
        <v/>
      </c>
      <c r="AF68" s="276" t="str">
        <f>IF($C68="","",VLOOKUP($C68,CTPit!$E$10:$BG$172,AF$49,FALSE))</f>
        <v/>
      </c>
      <c r="AG68" s="67" t="str">
        <f>IF($C68="","",VLOOKUP($C68,CTPit!$E$10:$BG$172,AG$49,FALSE))</f>
        <v/>
      </c>
    </row>
    <row r="69" spans="1:33">
      <c r="A69">
        <v>7</v>
      </c>
      <c r="B69" s="36" t="s">
        <v>19</v>
      </c>
      <c r="C69" s="65"/>
      <c r="D69" s="37" t="str">
        <f>IF($C69="","",VLOOKUP($C69,CTPit!$E$10:$BG$214,D$4,FALSE))</f>
        <v/>
      </c>
      <c r="E69" s="37" t="str">
        <f>IF($C69="","",VLOOKUP($C69,CTPit!$E$10:$BG$214,E$4+1,FALSE))</f>
        <v/>
      </c>
      <c r="F69" s="53" t="str">
        <f t="shared" si="94"/>
        <v/>
      </c>
      <c r="G69" s="275" t="str">
        <f t="shared" si="95"/>
        <v/>
      </c>
      <c r="H69" s="276" t="str">
        <f t="shared" si="96"/>
        <v/>
      </c>
      <c r="I69" s="99" t="str">
        <f>IF($C69="","",VLOOKUP($C69,CTPit!$E$10:$BG$172,I$49,FALSE))</f>
        <v/>
      </c>
      <c r="J69" s="275" t="str">
        <f t="shared" si="97"/>
        <v/>
      </c>
      <c r="K69" s="53" t="str">
        <f>IF($C69="","",VLOOKUP($C69,CTPit!$E$10:$BG$172,K$49,FALSE))</f>
        <v/>
      </c>
      <c r="L69" s="275" t="str">
        <f>IF($C69="","",VLOOKUP($C69,CTPit!$E$10:$BG$172,L$49,FALSE))</f>
        <v/>
      </c>
      <c r="M69" s="276" t="str">
        <f>IF($C69="","",VLOOKUP($C69,CTPit!$E$10:$BG$172,M$49,FALSE))</f>
        <v/>
      </c>
      <c r="N69" s="275" t="str">
        <f>IF($C69="","",VLOOKUP($C69,CTPit!$E$10:$BG$172,N$49,FALSE))</f>
        <v/>
      </c>
      <c r="O69" s="275" t="str">
        <f>IF($C69="","",VLOOKUP($C69,CTPit!$E$10:$BG$172,O$49,FALSE))</f>
        <v/>
      </c>
      <c r="P69" s="275" t="str">
        <f>IF($C69="","",VLOOKUP($C69,CTPit!$E$10:$BG$172,P$49,FALSE))</f>
        <v/>
      </c>
      <c r="Q69" s="275" t="str">
        <f>IF($C69="","",VLOOKUP($C69,CTPit!$E$10:$BG$172,Q$49,FALSE))</f>
        <v/>
      </c>
      <c r="R69" s="275" t="str">
        <f>IF($C69="","",VLOOKUP($C69,CTPit!$E$10:$BG$172,R$49,FALSE))</f>
        <v/>
      </c>
      <c r="S69" s="275" t="str">
        <f>IF($C69="","",VLOOKUP($C69,CTPit!$E$10:$BG$172,S$49,FALSE))</f>
        <v/>
      </c>
      <c r="T69" s="275" t="str">
        <f>IF($C69="","",VLOOKUP($C69,CTPit!$E$10:$BG$172,T$49,FALSE))</f>
        <v/>
      </c>
      <c r="U69" s="275" t="str">
        <f>IF($C69="","",VLOOKUP($C69,CTPit!$E$10:$BG$172,U$49,FALSE))</f>
        <v/>
      </c>
      <c r="V69" s="275" t="str">
        <f>IF($C69="","",VLOOKUP($C69,CTPit!$E$10:$BG$172,V$49,FALSE))</f>
        <v/>
      </c>
      <c r="W69" s="275" t="str">
        <f>IF($C69="","",VLOOKUP($C69,CTPit!$E$10:$BG$172,W$49,FALSE))</f>
        <v/>
      </c>
      <c r="X69" s="275" t="str">
        <f>IF($C69="","",VLOOKUP($C69,CTPit!$E$10:$BG$172,X$49,FALSE))</f>
        <v/>
      </c>
      <c r="Y69" s="276" t="str">
        <f>IF($C69="","",VLOOKUP($C69,CTPit!$E$10:$BG$172,Y$49,FALSE))</f>
        <v/>
      </c>
      <c r="Z69" s="53" t="str">
        <f>IF($C69="","",VLOOKUP($C69,CTPit!$E$10:$BG$172,Z$49,FALSE))</f>
        <v/>
      </c>
      <c r="AA69" s="275" t="str">
        <f>IF($C69="","",VLOOKUP($C69,CTPit!$E$10:$BG$172,AA$49,FALSE))</f>
        <v/>
      </c>
      <c r="AB69" s="80" t="str">
        <f>IF($C69="","",VLOOKUP($C69,CTPit!$E$10:$BG$172,AB$49,FALSE))</f>
        <v/>
      </c>
      <c r="AC69" s="67" t="str">
        <f>IF($C69="","",VLOOKUP($C69,CTPit!$E$10:$BG$172,AC$49,FALSE))</f>
        <v/>
      </c>
      <c r="AD69" s="275" t="str">
        <f>IF($C69="","",VLOOKUP($C69,CTPit!$E$10:$BG$172,AD$49,FALSE))</f>
        <v/>
      </c>
      <c r="AE69" s="275" t="str">
        <f>IF($C69="","",VLOOKUP($C69,CTPit!$E$10:$BG$172,AE$49,FALSE))</f>
        <v/>
      </c>
      <c r="AF69" s="276" t="str">
        <f>IF($C69="","",VLOOKUP($C69,CTPit!$E$10:$BG$172,AF$49,FALSE))</f>
        <v/>
      </c>
      <c r="AG69" s="67" t="str">
        <f>IF($C69="","",VLOOKUP($C69,CTPit!$E$10:$BG$172,AG$49,FALSE))</f>
        <v/>
      </c>
    </row>
    <row r="70" spans="1:33">
      <c r="A70">
        <v>8</v>
      </c>
      <c r="B70" s="36" t="s">
        <v>19</v>
      </c>
      <c r="C70" s="65"/>
      <c r="D70" s="37" t="str">
        <f>IF($C70="","",VLOOKUP($C70,CTPit!$E$10:$BG$214,D$4,FALSE))</f>
        <v/>
      </c>
      <c r="E70" s="37" t="str">
        <f>IF($C70="","",VLOOKUP($C70,CTPit!$E$10:$BG$214,E$4+1,FALSE))</f>
        <v/>
      </c>
      <c r="F70" s="53" t="str">
        <f t="shared" si="94"/>
        <v/>
      </c>
      <c r="G70" s="275" t="str">
        <f t="shared" si="95"/>
        <v/>
      </c>
      <c r="H70" s="276" t="str">
        <f t="shared" si="96"/>
        <v/>
      </c>
      <c r="I70" s="99" t="str">
        <f>IF($C70="","",VLOOKUP($C70,CTPit!$E$10:$BG$172,I$49,FALSE))</f>
        <v/>
      </c>
      <c r="J70" s="275" t="str">
        <f t="shared" si="97"/>
        <v/>
      </c>
      <c r="K70" s="53" t="str">
        <f>IF($C70="","",VLOOKUP($C70,CTPit!$E$10:$BG$172,K$49,FALSE))</f>
        <v/>
      </c>
      <c r="L70" s="275" t="str">
        <f>IF($C70="","",VLOOKUP($C70,CTPit!$E$10:$BG$172,L$49,FALSE))</f>
        <v/>
      </c>
      <c r="M70" s="276" t="str">
        <f>IF($C70="","",VLOOKUP($C70,CTPit!$E$10:$BG$172,M$49,FALSE))</f>
        <v/>
      </c>
      <c r="N70" s="275" t="str">
        <f>IF($C70="","",VLOOKUP($C70,CTPit!$E$10:$BG$172,N$49,FALSE))</f>
        <v/>
      </c>
      <c r="O70" s="275" t="str">
        <f>IF($C70="","",VLOOKUP($C70,CTPit!$E$10:$BG$172,O$49,FALSE))</f>
        <v/>
      </c>
      <c r="P70" s="275" t="str">
        <f>IF($C70="","",VLOOKUP($C70,CTPit!$E$10:$BG$172,P$49,FALSE))</f>
        <v/>
      </c>
      <c r="Q70" s="275" t="str">
        <f>IF($C70="","",VLOOKUP($C70,CTPit!$E$10:$BG$172,Q$49,FALSE))</f>
        <v/>
      </c>
      <c r="R70" s="275" t="str">
        <f>IF($C70="","",VLOOKUP($C70,CTPit!$E$10:$BG$172,R$49,FALSE))</f>
        <v/>
      </c>
      <c r="S70" s="275" t="str">
        <f>IF($C70="","",VLOOKUP($C70,CTPit!$E$10:$BG$172,S$49,FALSE))</f>
        <v/>
      </c>
      <c r="T70" s="275" t="str">
        <f>IF($C70="","",VLOOKUP($C70,CTPit!$E$10:$BG$172,T$49,FALSE))</f>
        <v/>
      </c>
      <c r="U70" s="275" t="str">
        <f>IF($C70="","",VLOOKUP($C70,CTPit!$E$10:$BG$172,U$49,FALSE))</f>
        <v/>
      </c>
      <c r="V70" s="275" t="str">
        <f>IF($C70="","",VLOOKUP($C70,CTPit!$E$10:$BG$172,V$49,FALSE))</f>
        <v/>
      </c>
      <c r="W70" s="275" t="str">
        <f>IF($C70="","",VLOOKUP($C70,CTPit!$E$10:$BG$172,W$49,FALSE))</f>
        <v/>
      </c>
      <c r="X70" s="275" t="str">
        <f>IF($C70="","",VLOOKUP($C70,CTPit!$E$10:$BG$172,X$49,FALSE))</f>
        <v/>
      </c>
      <c r="Y70" s="276" t="str">
        <f>IF($C70="","",VLOOKUP($C70,CTPit!$E$10:$BG$172,Y$49,FALSE))</f>
        <v/>
      </c>
      <c r="Z70" s="53" t="str">
        <f>IF($C70="","",VLOOKUP($C70,CTPit!$E$10:$BG$172,Z$49,FALSE))</f>
        <v/>
      </c>
      <c r="AA70" s="275" t="str">
        <f>IF($C70="","",VLOOKUP($C70,CTPit!$E$10:$BG$172,AA$49,FALSE))</f>
        <v/>
      </c>
      <c r="AB70" s="80" t="str">
        <f>IF($C70="","",VLOOKUP($C70,CTPit!$E$10:$BG$172,AB$49,FALSE))</f>
        <v/>
      </c>
      <c r="AC70" s="67" t="str">
        <f>IF($C70="","",VLOOKUP($C70,CTPit!$E$10:$BG$172,AC$49,FALSE))</f>
        <v/>
      </c>
      <c r="AD70" s="275" t="str">
        <f>IF($C70="","",VLOOKUP($C70,CTPit!$E$10:$BG$172,AD$49,FALSE))</f>
        <v/>
      </c>
      <c r="AE70" s="275" t="str">
        <f>IF($C70="","",VLOOKUP($C70,CTPit!$E$10:$BG$172,AE$49,FALSE))</f>
        <v/>
      </c>
      <c r="AF70" s="276" t="str">
        <f>IF($C70="","",VLOOKUP($C70,CTPit!$E$10:$BG$172,AF$49,FALSE))</f>
        <v/>
      </c>
      <c r="AG70" s="67" t="str">
        <f>IF($C70="","",VLOOKUP($C70,CTPit!$E$10:$BG$172,AG$49,FALSE))</f>
        <v/>
      </c>
    </row>
    <row r="71" spans="1:33">
      <c r="A71">
        <v>9</v>
      </c>
      <c r="B71" s="36" t="s">
        <v>19</v>
      </c>
      <c r="C71" s="65"/>
      <c r="D71" s="37" t="str">
        <f>IF($C71="","",VLOOKUP($C71,CTPit!$E$10:$BG$214,D$4,FALSE))</f>
        <v/>
      </c>
      <c r="E71" s="37" t="str">
        <f>IF($C71="","",VLOOKUP($C71,CTPit!$E$10:$BG$214,E$4+1,FALSE))</f>
        <v/>
      </c>
      <c r="F71" s="53" t="str">
        <f t="shared" si="94"/>
        <v/>
      </c>
      <c r="G71" s="275" t="str">
        <f t="shared" si="95"/>
        <v/>
      </c>
      <c r="H71" s="276" t="str">
        <f t="shared" si="96"/>
        <v/>
      </c>
      <c r="I71" s="99" t="str">
        <f>IF($C71="","",VLOOKUP($C71,CTPit!$E$10:$BG$172,I$49,FALSE))</f>
        <v/>
      </c>
      <c r="J71" s="275" t="str">
        <f t="shared" si="97"/>
        <v/>
      </c>
      <c r="K71" s="53" t="str">
        <f>IF($C71="","",VLOOKUP($C71,CTPit!$E$10:$BG$172,K$49,FALSE))</f>
        <v/>
      </c>
      <c r="L71" s="275" t="str">
        <f>IF($C71="","",VLOOKUP($C71,CTPit!$E$10:$BG$172,L$49,FALSE))</f>
        <v/>
      </c>
      <c r="M71" s="276" t="str">
        <f>IF($C71="","",VLOOKUP($C71,CTPit!$E$10:$BG$172,M$49,FALSE))</f>
        <v/>
      </c>
      <c r="N71" s="275" t="str">
        <f>IF($C71="","",VLOOKUP($C71,CTPit!$E$10:$BG$172,N$49,FALSE))</f>
        <v/>
      </c>
      <c r="O71" s="275" t="str">
        <f>IF($C71="","",VLOOKUP($C71,CTPit!$E$10:$BG$172,O$49,FALSE))</f>
        <v/>
      </c>
      <c r="P71" s="275" t="str">
        <f>IF($C71="","",VLOOKUP($C71,CTPit!$E$10:$BG$172,P$49,FALSE))</f>
        <v/>
      </c>
      <c r="Q71" s="275" t="str">
        <f>IF($C71="","",VLOOKUP($C71,CTPit!$E$10:$BG$172,Q$49,FALSE))</f>
        <v/>
      </c>
      <c r="R71" s="275" t="str">
        <f>IF($C71="","",VLOOKUP($C71,CTPit!$E$10:$BG$172,R$49,FALSE))</f>
        <v/>
      </c>
      <c r="S71" s="275" t="str">
        <f>IF($C71="","",VLOOKUP($C71,CTPit!$E$10:$BG$172,S$49,FALSE))</f>
        <v/>
      </c>
      <c r="T71" s="275" t="str">
        <f>IF($C71="","",VLOOKUP($C71,CTPit!$E$10:$BG$172,T$49,FALSE))</f>
        <v/>
      </c>
      <c r="U71" s="275" t="str">
        <f>IF($C71="","",VLOOKUP($C71,CTPit!$E$10:$BG$172,U$49,FALSE))</f>
        <v/>
      </c>
      <c r="V71" s="275" t="str">
        <f>IF($C71="","",VLOOKUP($C71,CTPit!$E$10:$BG$172,V$49,FALSE))</f>
        <v/>
      </c>
      <c r="W71" s="275" t="str">
        <f>IF($C71="","",VLOOKUP($C71,CTPit!$E$10:$BG$172,W$49,FALSE))</f>
        <v/>
      </c>
      <c r="X71" s="275" t="str">
        <f>IF($C71="","",VLOOKUP($C71,CTPit!$E$10:$BG$172,X$49,FALSE))</f>
        <v/>
      </c>
      <c r="Y71" s="276" t="str">
        <f>IF($C71="","",VLOOKUP($C71,CTPit!$E$10:$BG$172,Y$49,FALSE))</f>
        <v/>
      </c>
      <c r="Z71" s="53" t="str">
        <f>IF($C71="","",VLOOKUP($C71,CTPit!$E$10:$BG$172,Z$49,FALSE))</f>
        <v/>
      </c>
      <c r="AA71" s="275" t="str">
        <f>IF($C71="","",VLOOKUP($C71,CTPit!$E$10:$BG$172,AA$49,FALSE))</f>
        <v/>
      </c>
      <c r="AB71" s="80" t="str">
        <f>IF($C71="","",VLOOKUP($C71,CTPit!$E$10:$BG$172,AB$49,FALSE))</f>
        <v/>
      </c>
      <c r="AC71" s="67" t="str">
        <f>IF($C71="","",VLOOKUP($C71,CTPit!$E$10:$BG$172,AC$49,FALSE))</f>
        <v/>
      </c>
      <c r="AD71" s="275" t="str">
        <f>IF($C71="","",VLOOKUP($C71,CTPit!$E$10:$BG$172,AD$49,FALSE))</f>
        <v/>
      </c>
      <c r="AE71" s="275" t="str">
        <f>IF($C71="","",VLOOKUP($C71,CTPit!$E$10:$BG$172,AE$49,FALSE))</f>
        <v/>
      </c>
      <c r="AF71" s="276" t="str">
        <f>IF($C71="","",VLOOKUP($C71,CTPit!$E$10:$BG$172,AF$49,FALSE))</f>
        <v/>
      </c>
      <c r="AG71" s="67" t="str">
        <f>IF($C71="","",VLOOKUP($C71,CTPit!$E$10:$BG$172,AG$49,FALSE))</f>
        <v/>
      </c>
    </row>
    <row r="72" spans="1:33">
      <c r="A72">
        <v>10</v>
      </c>
      <c r="B72" s="39" t="s">
        <v>19</v>
      </c>
      <c r="C72" s="40"/>
      <c r="D72" s="40" t="str">
        <f>IF($C72="","",VLOOKUP($C72,CTPit!$E$10:$BG$214,D$4,FALSE))</f>
        <v/>
      </c>
      <c r="E72" s="40" t="str">
        <f>IF($C72="","",VLOOKUP($C72,CTPit!$E$10:$BG$214,E$4+1,FALSE))</f>
        <v/>
      </c>
      <c r="F72" s="54" t="str">
        <f t="shared" si="94"/>
        <v/>
      </c>
      <c r="G72" s="273" t="str">
        <f t="shared" si="95"/>
        <v/>
      </c>
      <c r="H72" s="274" t="str">
        <f t="shared" si="96"/>
        <v/>
      </c>
      <c r="I72" s="100" t="str">
        <f>IF($C72="","",VLOOKUP($C72,CTPit!$E$10:$BG$172,I$49,FALSE))</f>
        <v/>
      </c>
      <c r="J72" s="273" t="str">
        <f t="shared" si="97"/>
        <v/>
      </c>
      <c r="K72" s="54" t="str">
        <f>IF($C72="","",VLOOKUP($C72,CTPit!$E$10:$BG$172,K$49,FALSE))</f>
        <v/>
      </c>
      <c r="L72" s="273" t="str">
        <f>IF($C72="","",VLOOKUP($C72,CTPit!$E$10:$BG$172,L$49,FALSE))</f>
        <v/>
      </c>
      <c r="M72" s="274" t="str">
        <f>IF($C72="","",VLOOKUP($C72,CTPit!$E$10:$BG$172,M$49,FALSE))</f>
        <v/>
      </c>
      <c r="N72" s="273" t="str">
        <f>IF($C72="","",VLOOKUP($C72,CTPit!$E$10:$BG$172,N$49,FALSE))</f>
        <v/>
      </c>
      <c r="O72" s="273" t="str">
        <f>IF($C72="","",VLOOKUP($C72,CTPit!$E$10:$BG$172,O$49,FALSE))</f>
        <v/>
      </c>
      <c r="P72" s="273" t="str">
        <f>IF($C72="","",VLOOKUP($C72,CTPit!$E$10:$BG$172,P$49,FALSE))</f>
        <v/>
      </c>
      <c r="Q72" s="273" t="str">
        <f>IF($C72="","",VLOOKUP($C72,CTPit!$E$10:$BG$172,Q$49,FALSE))</f>
        <v/>
      </c>
      <c r="R72" s="273" t="str">
        <f>IF($C72="","",VLOOKUP($C72,CTPit!$E$10:$BG$172,R$49,FALSE))</f>
        <v/>
      </c>
      <c r="S72" s="273" t="str">
        <f>IF($C72="","",VLOOKUP($C72,CTPit!$E$10:$BG$172,S$49,FALSE))</f>
        <v/>
      </c>
      <c r="T72" s="273" t="str">
        <f>IF($C72="","",VLOOKUP($C72,CTPit!$E$10:$BG$172,T$49,FALSE))</f>
        <v/>
      </c>
      <c r="U72" s="273" t="str">
        <f>IF($C72="","",VLOOKUP($C72,CTPit!$E$10:$BG$172,U$49,FALSE))</f>
        <v/>
      </c>
      <c r="V72" s="273" t="str">
        <f>IF($C72="","",VLOOKUP($C72,CTPit!$E$10:$BG$172,V$49,FALSE))</f>
        <v/>
      </c>
      <c r="W72" s="273" t="str">
        <f>IF($C72="","",VLOOKUP($C72,CTPit!$E$10:$BG$172,W$49,FALSE))</f>
        <v/>
      </c>
      <c r="X72" s="273" t="str">
        <f>IF($C72="","",VLOOKUP($C72,CTPit!$E$10:$BG$172,X$49,FALSE))</f>
        <v/>
      </c>
      <c r="Y72" s="274" t="str">
        <f>IF($C72="","",VLOOKUP($C72,CTPit!$E$10:$BG$172,Y$49,FALSE))</f>
        <v/>
      </c>
      <c r="Z72" s="54" t="str">
        <f>IF($C72="","",VLOOKUP($C72,CTPit!$E$10:$BG$172,Z$49,FALSE))</f>
        <v/>
      </c>
      <c r="AA72" s="273" t="str">
        <f>IF($C72="","",VLOOKUP($C72,CTPit!$E$10:$BG$172,AA$49,FALSE))</f>
        <v/>
      </c>
      <c r="AB72" s="81" t="str">
        <f>IF($C72="","",VLOOKUP($C72,CTPit!$E$10:$BG$172,AB$49,FALSE))</f>
        <v/>
      </c>
      <c r="AC72" s="68" t="str">
        <f>IF($C72="","",VLOOKUP($C72,CTPit!$E$10:$BG$172,AC$49,FALSE))</f>
        <v/>
      </c>
      <c r="AD72" s="273" t="str">
        <f>IF($C72="","",VLOOKUP($C72,CTPit!$E$10:$BG$172,AD$49,FALSE))</f>
        <v/>
      </c>
      <c r="AE72" s="273" t="str">
        <f>IF($C72="","",VLOOKUP($C72,CTPit!$E$10:$BG$172,AE$49,FALSE))</f>
        <v/>
      </c>
      <c r="AF72" s="274" t="str">
        <f>IF($C72="","",VLOOKUP($C72,CTPit!$E$10:$BG$172,AF$49,FALSE))</f>
        <v/>
      </c>
      <c r="AG72" s="68" t="str">
        <f>IF($C72="","",VLOOKUP($C72,CTPit!$E$10:$BG$172,AG$49,FALSE))</f>
        <v/>
      </c>
    </row>
  </sheetData>
  <mergeCells count="6">
    <mergeCell ref="AH40:AT40"/>
    <mergeCell ref="AG35:AT35"/>
    <mergeCell ref="AH36:AT36"/>
    <mergeCell ref="AH37:AT37"/>
    <mergeCell ref="AH38:AT38"/>
    <mergeCell ref="AH39:AT39"/>
  </mergeCells>
  <conditionalFormatting sqref="G19">
    <cfRule type="expression" dxfId="86" priority="21">
      <formula>IF(SUM(G20:G27)&gt;1,1,0)</formula>
    </cfRule>
  </conditionalFormatting>
  <conditionalFormatting sqref="H19">
    <cfRule type="expression" dxfId="85" priority="20">
      <formula>IF(SUM(H20:H27)&gt;1,1,0)</formula>
    </cfRule>
  </conditionalFormatting>
  <conditionalFormatting sqref="F19">
    <cfRule type="expression" dxfId="84" priority="19">
      <formula>IF(SUM(F20:F27)&gt;1,1,0)</formula>
    </cfRule>
  </conditionalFormatting>
  <conditionalFormatting sqref="I5">
    <cfRule type="expression" dxfId="83" priority="18">
      <formula>-IF(SUM(I6:I17)&gt;1,1,0)</formula>
    </cfRule>
  </conditionalFormatting>
  <conditionalFormatting sqref="H5">
    <cfRule type="expression" dxfId="82" priority="17">
      <formula>-IF(SUM(H6:H17)&gt;1,1,0)</formula>
    </cfRule>
  </conditionalFormatting>
  <conditionalFormatting sqref="F29">
    <cfRule type="expression" dxfId="81" priority="16">
      <formula>IF(SUM($F$30:$F$33)&gt;1,1,0)</formula>
    </cfRule>
  </conditionalFormatting>
  <conditionalFormatting sqref="F50">
    <cfRule type="expression" dxfId="80" priority="15">
      <formula>IF(SUM($F$51:$F$56)&gt;1,1,0)</formula>
    </cfRule>
  </conditionalFormatting>
  <conditionalFormatting sqref="H50">
    <cfRule type="expression" dxfId="79" priority="14">
      <formula>IF(SUM($H$51:$H$56)&gt;3,1,0)</formula>
    </cfRule>
  </conditionalFormatting>
  <conditionalFormatting sqref="G50">
    <cfRule type="expression" dxfId="78" priority="13">
      <formula>IF(SUM($G$51:$G$56)&gt;2,1,0)</formula>
    </cfRule>
  </conditionalFormatting>
  <conditionalFormatting sqref="C30:C33 C20:C27 C6:C17">
    <cfRule type="expression" dxfId="77" priority="11">
      <formula>IF($AZ6&lt;4.5,1,0)</formula>
    </cfRule>
    <cfRule type="expression" dxfId="76" priority="12">
      <formula>IF($AZ6&gt;7,1,0)</formula>
    </cfRule>
  </conditionalFormatting>
  <conditionalFormatting sqref="C21">
    <cfRule type="expression" dxfId="75" priority="9">
      <formula>IF($AK21&lt;4.5,1,0)</formula>
    </cfRule>
    <cfRule type="expression" dxfId="74" priority="10">
      <formula>IF($AK21&gt;7,1,0)</formula>
    </cfRule>
  </conditionalFormatting>
  <conditionalFormatting sqref="F5">
    <cfRule type="expression" dxfId="73" priority="8">
      <formula>IF(SUM(F6:F17)&gt;1,1,0)</formula>
    </cfRule>
  </conditionalFormatting>
  <conditionalFormatting sqref="G5">
    <cfRule type="expression" dxfId="72" priority="7">
      <formula>IF(SUM(G6:G17)&gt;1,1,0)</formula>
    </cfRule>
  </conditionalFormatting>
  <conditionalFormatting sqref="C51:C56 C59:C60 C63:C72">
    <cfRule type="expression" dxfId="71" priority="3">
      <formula>IF($AC51&lt;$D$2,1,0)</formula>
    </cfRule>
    <cfRule type="expression" dxfId="70" priority="4">
      <formula>IF($AC51&gt;$C$3,1,0)</formula>
    </cfRule>
    <cfRule type="expression" dxfId="69" priority="5">
      <formula>IF($AG51&lt;5.75,1,0)</formula>
    </cfRule>
    <cfRule type="expression" dxfId="68" priority="6">
      <formula>IF($AG51&gt;6,1,0)</formula>
    </cfRule>
  </conditionalFormatting>
  <conditionalFormatting sqref="C6:C17 C20:C27 C30:C33">
    <cfRule type="expression" dxfId="67" priority="1">
      <formula>IF($AK6&lt;$D$2,1,0)</formula>
    </cfRule>
    <cfRule type="expression" dxfId="66" priority="2">
      <formula>IF($AK6&gt;$C$2,1,0)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CON</vt:lpstr>
      <vt:lpstr>CON-next</vt:lpstr>
      <vt:lpstr>CON-long</vt:lpstr>
      <vt:lpstr>Payroll</vt:lpstr>
      <vt:lpstr>Fin Proj</vt:lpstr>
      <vt:lpstr>Depth</vt:lpstr>
      <vt:lpstr>CTBat</vt:lpstr>
      <vt:lpstr>CTPit</vt:lpstr>
      <vt:lpstr>PSP-AAA</vt:lpstr>
      <vt:lpstr>NH-AA</vt:lpstr>
      <vt:lpstr>CRG-A</vt:lpstr>
      <vt:lpstr>PC-S A</vt:lpstr>
      <vt:lpstr>CTBOld</vt:lpstr>
      <vt:lpstr>CTPOld</vt:lpstr>
    </vt:vector>
  </TitlesOfParts>
  <Company>Providence Health &amp; Services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Esselink</dc:creator>
  <cp:lastModifiedBy>Frank Esselink</cp:lastModifiedBy>
  <dcterms:created xsi:type="dcterms:W3CDTF">2010-08-30T18:35:13Z</dcterms:created>
  <dcterms:modified xsi:type="dcterms:W3CDTF">2013-09-07T00:03:46Z</dcterms:modified>
</cp:coreProperties>
</file>